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<sst xmlns="http://schemas.openxmlformats.org/spreadsheetml/2006/main" count="85" uniqueCount="79">
  <si>
    <r>
      <rPr>
        <b val="true"/>
        <sz val="16"/>
        <rFont val="Noto Sans CJK SC"/>
        <family val="2"/>
      </rPr>
      <t xml:space="preserve">物流 </t>
    </r>
    <r>
      <rPr>
        <b val="true"/>
        <sz val="16"/>
        <rFont val="Microsoft YaHei"/>
        <family val="0"/>
        <charset val="1"/>
      </rPr>
      <t xml:space="preserve">/ </t>
    </r>
    <r>
      <rPr>
        <b val="true"/>
        <sz val="16"/>
        <rFont val="Noto Sans CJK SC"/>
        <family val="2"/>
      </rPr>
      <t xml:space="preserve">供应链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路径优化 分析工作簿（示例）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</si>
  <si>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</si>
  <si>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</si>
  <si>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物流 </t>
    </r>
    <r>
      <rPr>
        <sz val="11"/>
        <color rgb="FF000000"/>
        <rFont val="Microsoft YaHei"/>
        <family val="0"/>
        <charset val="1"/>
      </rPr>
      <t xml:space="preserve">/ </t>
    </r>
    <r>
      <rPr>
        <sz val="11"/>
        <color rgb="FF000000"/>
        <rFont val="Noto Sans CJK SC"/>
        <family val="2"/>
      </rPr>
      <t xml:space="preserve">供应链行业「路径优化」场景。末端配送线路多年未系统优化，绕路、重叠与时效不达并存。本方案对配送片区与线路重新规划，结合实时路况动态导航，压缩单均里程并提升妥投效率。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</si>
  <si>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</si>
  <si>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</si>
  <si>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</si>
  <si>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035-industry-</t>
    </r>
    <r>
      <rPr>
        <sz val="11"/>
        <color rgb="FF000000"/>
        <rFont val="Noto Sans CJK SC"/>
        <family val="2"/>
      </rPr>
      <t xml:space="preserve">物流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供应链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路径优化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配套模板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</si>
  <si>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</si>
  <si>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</si>
  <si>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</si>
  <si>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</si>
  <si>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</si>
  <si>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遵循道路运输安全法规与数据安全要求，客户面单信息脱敏处理，冷链等特殊品类执行专项规范。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调度与预测结果由运营调度主管确认后下发执行，保留人工干预通道。</t>
    </r>
  </si>
  <si>
    <t xml:space="preserve">片区配送里程优化对比（示例数据）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</si>
  <si>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</si>
  <si>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</si>
  <si>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</si>
  <si>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</si>
  <si>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</si>
  <si>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</si>
  <si>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</si>
  <si>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</si>
  <si>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配送片区</t>
  </si>
  <si>
    <t xml:space="preserve">时效要求</t>
  </si>
  <si>
    <t xml:space="preserve">日均配送点数</t>
  </si>
  <si>
    <r>
      <rPr>
        <b val="true"/>
        <sz val="11"/>
        <color rgb="FFFFFFFF"/>
        <rFont val="Noto Sans CJK SC"/>
        <family val="2"/>
      </rPr>
      <t xml:space="preserve">优化前线路里程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公里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</si>
  <si>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优化后线路里程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公里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</si>
  <si>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中心城区</t>
  </si>
  <si>
    <t xml:space="preserve">次日达</t>
  </si>
  <si>
    <t xml:space="preserve">高新园区</t>
  </si>
  <si>
    <t xml:space="preserve">半日达</t>
  </si>
  <si>
    <t xml:space="preserve">老城区</t>
  </si>
  <si>
    <t xml:space="preserve">大学城</t>
  </si>
  <si>
    <t xml:space="preserve">当日达</t>
  </si>
  <si>
    <t xml:space="preserve">工业园</t>
  </si>
  <si>
    <t xml:space="preserve">临港新区</t>
  </si>
  <si>
    <t xml:space="preserve">县域乡镇</t>
  </si>
  <si>
    <t xml:space="preserve">商圈写字楼</t>
  </si>
  <si>
    <t xml:space="preserve">注：上表为虚构示例数据，复用时请整行替换为本单位真实数据，行数增减需同步调整“分析计算”与“校验”表公式范围。</t>
  </si>
  <si>
    <t xml:space="preserve">路径优化效果测算（公式区，请勿手工覆盖）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</si>
  <si>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改善量（优化前线路里程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公里</t>
    </r>
    <r>
      <rPr>
        <b val="true"/>
        <sz val="11"/>
        <color rgb="FFFFFFFF"/>
        <rFont val="Microsoft YaHei"/>
        <family val="0"/>
        <charset val="1"/>
      </rPr>
      <t xml:space="preserve">)−</t>
    </r>
    <r>
      <rPr>
        <b val="true"/>
        <sz val="11"/>
        <color rgb="FFFFFFFF"/>
        <rFont val="Noto Sans CJK SC"/>
        <family val="2"/>
      </rPr>
      <t xml:space="preserve">优化后线路里程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公里</t>
    </r>
    <r>
      <rPr>
        <b val="true"/>
        <sz val="11"/>
        <color rgb="FFFFFFFF"/>
        <rFont val="Microsoft YaHei"/>
        <family val="0"/>
        <charset val="1"/>
      </rPr>
      <t xml:space="preserve">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</si>
  <si>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里程压缩率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</si>
  <si>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</si>
  <si>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</si>
  <si>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</si>
  <si>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</si>
  <si>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</si>
  <si>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</si>
  <si>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</si>
  <si>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</si>
  <si>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</si>
  <si>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</si>
  <si>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</si>
  <si>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</si>
  <si>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</si>
  <si>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</si>
  <si>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</si>
  <si>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</si>
  <si>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</si>
  <si>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</si>
  <si>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</si>
  <si>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</si>
  <si>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</si>
  <si>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</si>
  <si>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片区配送里程优化对比（示例数据）——基准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</si>
  <si>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</si>
  <si>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</si>
  <si>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</si>
  <si>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</si>
  <si>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</si>
  <si>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单均配送里程</t>
  </si>
  <si>
    <t xml:space="preserve">公里</t>
  </si>
  <si>
    <t xml:space="preserve">日均妥投量</t>
  </si>
  <si>
    <r>
      <rPr>
        <sz val="11"/>
        <color rgb="FF000000"/>
        <rFont val="Noto Sans CJK SC"/>
        <family val="2"/>
      </rPr>
      <t xml:space="preserve">单</t>
    </r>
    <r>
      <rPr>
        <sz val="11"/>
        <color rgb="FF000000"/>
        <rFont val="Microsoft YaHei"/>
        <family val="0"/>
        <charset val="1"/>
      </rPr>
      <t xml:space="preserve">/</t>
    </r>
    <r>
      <rPr>
        <sz val="11"/>
        <color rgb="FF000000"/>
        <rFont val="Noto Sans CJK SC"/>
        <family val="2"/>
      </rPr>
      <t xml:space="preserve">人</t>
    </r>
  </si>
  <si>
    <t xml:space="preserve">月度油耗成本</t>
  </si>
  <si>
    <t xml:space="preserve">万元</t>
  </si>
  <si>
    <t xml:space="preserve">配送超时率</t>
  </si>
  <si>
    <t xml:space="preserve">%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</si>
</sst>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优化前线路里程(公里) 与 优化后线路里程(公里)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优化前线路里程(公里)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中心城区</c:v>
                </c:pt>
                <c:pt idx="1">
                  <c:v>高新园区</c:v>
                </c:pt>
                <c:pt idx="2">
                  <c:v>老城区</c:v>
                </c:pt>
                <c:pt idx="3">
                  <c:v>大学城</c:v>
                </c:pt>
                <c:pt idx="4">
                  <c:v>工业园</c:v>
                </c:pt>
                <c:pt idx="5">
                  <c:v>临港新区</c:v>
                </c:pt>
                <c:pt idx="6">
                  <c:v>县域乡镇</c:v>
                </c:pt>
                <c:pt idx="7">
                  <c:v>商圈写字楼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150.1</c:v>
                </c:pt>
                <c:pt idx="1">
                  <c:v>111.8</c:v>
                </c:pt>
                <c:pt idx="2">
                  <c:v>150.6</c:v>
                </c:pt>
                <c:pt idx="3">
                  <c:v>156.6</c:v>
                </c:pt>
                <c:pt idx="4">
                  <c:v>61</c:v>
                </c:pt>
                <c:pt idx="5">
                  <c:v>104.9</c:v>
                </c:pt>
                <c:pt idx="6">
                  <c:v>66.2</c:v>
                </c:pt>
                <c:pt idx="7">
                  <c:v>78.8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优化后线路里程(公里)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中心城区</c:v>
                </c:pt>
                <c:pt idx="1">
                  <c:v>高新园区</c:v>
                </c:pt>
                <c:pt idx="2">
                  <c:v>老城区</c:v>
                </c:pt>
                <c:pt idx="3">
                  <c:v>大学城</c:v>
                </c:pt>
                <c:pt idx="4">
                  <c:v>工业园</c:v>
                </c:pt>
                <c:pt idx="5">
                  <c:v>临港新区</c:v>
                </c:pt>
                <c:pt idx="6">
                  <c:v>县域乡镇</c:v>
                </c:pt>
                <c:pt idx="7">
                  <c:v>商圈写字楼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125.3</c:v>
                </c:pt>
                <c:pt idx="1">
                  <c:v>83.3</c:v>
                </c:pt>
                <c:pt idx="2">
                  <c:v>130.6</c:v>
                </c:pt>
                <c:pt idx="3">
                  <c:v>135.5</c:v>
                </c:pt>
                <c:pt idx="4">
                  <c:v>48.3</c:v>
                </c:pt>
                <c:pt idx="5">
                  <c:v>73.9</c:v>
                </c:pt>
                <c:pt idx="6">
                  <c:v>49.1</c:v>
                </c:pt>
                <c:pt idx="7">
                  <c:v>57.5</c:v>
                </c:pt>
              </c:numCache>
            </c:numRef>
          </c:val>
        </c:ser>
        <c:gapWidth val="150"/>
        <c:overlap val="0"/>
        <c:axId val="99691004"/>
        <c:axId val="89466275"/>
      </c:barChart>
      <c:catAx>
        <c:axId val="9969100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配送片区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9466275"/>
        <c:crosses val="autoZero"/>
        <c:auto val="1"/>
        <c:lblAlgn val="ctr"/>
        <c:lblOffset val="100"/>
        <c:noMultiLvlLbl val="0"/>
      </c:catAx>
      <c:valAx>
        <c:axId val="8946627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969100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单均配送里程</c:v>
                </c:pt>
                <c:pt idx="1">
                  <c:v>日均妥投量</c:v>
                </c:pt>
                <c:pt idx="2">
                  <c:v>月度油耗成本</c:v>
                </c:pt>
                <c:pt idx="3">
                  <c:v>配送超时率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4.2</c:v>
                </c:pt>
                <c:pt idx="1">
                  <c:v>85</c:v>
                </c:pt>
                <c:pt idx="2">
                  <c:v>26</c:v>
                </c:pt>
                <c:pt idx="3">
                  <c:v>7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单均配送里程</c:v>
                </c:pt>
                <c:pt idx="1">
                  <c:v>日均妥投量</c:v>
                </c:pt>
                <c:pt idx="2">
                  <c:v>月度油耗成本</c:v>
                </c:pt>
                <c:pt idx="3">
                  <c:v>配送超时率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3.1</c:v>
                </c:pt>
                <c:pt idx="1">
                  <c:v>120</c:v>
                </c:pt>
                <c:pt idx="2">
                  <c:v>19</c:v>
                </c:pt>
                <c:pt idx="3">
                  <c:v>2.5</c:v>
                </c:pt>
              </c:numCache>
            </c:numRef>
          </c:val>
        </c:ser>
        <c:gapWidth val="150"/>
        <c:overlap val="0"/>
        <c:axId val="5730864"/>
        <c:axId val="83624738"/>
      </c:barChart>
      <c:catAx>
        <c:axId val="5730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3624738"/>
        <c:crosses val="autoZero"/>
        <c:auto val="1"/>
        <c:lblAlgn val="ctr"/>
        <c:lblOffset val="100"/>
        <c:noMultiLvlLbl val="0"/>
      </c:catAx>
      <c:valAx>
        <c:axId val="8362473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73086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0" t="s">
        <v>27</v>
      </c>
    </row>
    <row r="10" customFormat="false" ht="15" hidden="false" customHeight="false" outlineLevel="0" collapsed="false">
      <c r="A10" s="11" t="s">
        <v>28</v>
      </c>
      <c r="B10" s="11" t="s">
        <v>29</v>
      </c>
      <c r="C10" s="12" t="n">
        <v>251</v>
      </c>
      <c r="D10" s="13" t="n">
        <v>150.1</v>
      </c>
      <c r="E10" s="13" t="n">
        <v>125.3</v>
      </c>
    </row>
    <row r="11" customFormat="false" ht="15" hidden="false" customHeight="false" outlineLevel="0" collapsed="false">
      <c r="A11" s="11" t="s">
        <v>30</v>
      </c>
      <c r="B11" s="11" t="s">
        <v>31</v>
      </c>
      <c r="C11" s="12" t="n">
        <v>226</v>
      </c>
      <c r="D11" s="13" t="n">
        <v>111.8</v>
      </c>
      <c r="E11" s="13" t="n">
        <v>83.3</v>
      </c>
    </row>
    <row r="12" customFormat="false" ht="15" hidden="false" customHeight="false" outlineLevel="0" collapsed="false">
      <c r="A12" s="11" t="s">
        <v>32</v>
      </c>
      <c r="B12" s="11" t="s">
        <v>31</v>
      </c>
      <c r="C12" s="12" t="n">
        <v>349</v>
      </c>
      <c r="D12" s="13" t="n">
        <v>150.6</v>
      </c>
      <c r="E12" s="13" t="n">
        <v>130.6</v>
      </c>
    </row>
    <row r="13" customFormat="false" ht="15" hidden="false" customHeight="false" outlineLevel="0" collapsed="false">
      <c r="A13" s="11" t="s">
        <v>33</v>
      </c>
      <c r="B13" s="11" t="s">
        <v>34</v>
      </c>
      <c r="C13" s="12" t="n">
        <v>267</v>
      </c>
      <c r="D13" s="13" t="n">
        <v>156.6</v>
      </c>
      <c r="E13" s="13" t="n">
        <v>135.5</v>
      </c>
    </row>
    <row r="14" customFormat="false" ht="15" hidden="false" customHeight="false" outlineLevel="0" collapsed="false">
      <c r="A14" s="11" t="s">
        <v>35</v>
      </c>
      <c r="B14" s="11" t="s">
        <v>31</v>
      </c>
      <c r="C14" s="12" t="n">
        <v>266</v>
      </c>
      <c r="D14" s="13" t="n">
        <v>61</v>
      </c>
      <c r="E14" s="13" t="n">
        <v>48.3</v>
      </c>
    </row>
    <row r="15" customFormat="false" ht="15" hidden="false" customHeight="false" outlineLevel="0" collapsed="false">
      <c r="A15" s="11" t="s">
        <v>36</v>
      </c>
      <c r="B15" s="11" t="s">
        <v>31</v>
      </c>
      <c r="C15" s="12" t="n">
        <v>333</v>
      </c>
      <c r="D15" s="13" t="n">
        <v>104.9</v>
      </c>
      <c r="E15" s="13" t="n">
        <v>73.9</v>
      </c>
    </row>
    <row r="16" customFormat="false" ht="15" hidden="false" customHeight="false" outlineLevel="0" collapsed="false">
      <c r="A16" s="11" t="s">
        <v>37</v>
      </c>
      <c r="B16" s="11" t="s">
        <v>29</v>
      </c>
      <c r="C16" s="12" t="n">
        <v>334</v>
      </c>
      <c r="D16" s="13" t="n">
        <v>66.2</v>
      </c>
      <c r="E16" s="13" t="n">
        <v>49.1</v>
      </c>
    </row>
    <row r="17" customFormat="false" ht="15" hidden="false" customHeight="false" outlineLevel="0" collapsed="false">
      <c r="A17" s="11" t="s">
        <v>38</v>
      </c>
      <c r="B17" s="11" t="s">
        <v>34</v>
      </c>
      <c r="C17" s="12" t="n">
        <v>120</v>
      </c>
      <c r="D17" s="13" t="n">
        <v>78.8</v>
      </c>
      <c r="E17" s="13" t="n">
        <v>57.5</v>
      </c>
    </row>
    <row r="19" customFormat="false" ht="15" hidden="false" customHeight="false" outlineLevel="0" collapsed="false">
      <c r="A19" s="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40</v>
      </c>
    </row>
    <row r="3" customFormat="false" ht="15" hidden="false" customHeight="false" outlineLevel="0" collapsed="false">
      <c r="A3" s="10" t="s">
        <v>23</v>
      </c>
      <c r="B3" s="10" t="s">
        <v>41</v>
      </c>
      <c r="C3" s="10" t="s">
        <v>42</v>
      </c>
      <c r="D3" s="10" t="s">
        <v>43</v>
      </c>
      <c r="E3" s="10" t="s">
        <v>44</v>
      </c>
    </row>
    <row r="4" customFormat="false" ht="15" hidden="false" customHeight="false" outlineLevel="0" collapsed="false">
      <c r="A4" s="14" t="str">
        <f aca="false">参数与输入!A10</f>
        <v>中心城区</v>
      </c>
      <c r="B4" s="15" t="n">
        <f aca="false">参数与输入!D10-参数与输入!E10</f>
        <v>24.8</v>
      </c>
      <c r="C4" s="16" t="n">
        <f aca="false">IF(参数与输入!D10=0,0,B4/参数与输入!D10)</f>
        <v>0.165223184543638</v>
      </c>
      <c r="D4" s="17" t="str">
        <f aca="false">IF(C4&gt;=参数与输入!$B$5,"达标","关注")</f>
        <v>关注</v>
      </c>
      <c r="E4" s="17" t="n">
        <f aca="false">RANK(C4,$C$4:$C$11)</f>
        <v>6</v>
      </c>
    </row>
    <row r="5" customFormat="false" ht="15" hidden="false" customHeight="false" outlineLevel="0" collapsed="false">
      <c r="A5" s="14" t="str">
        <f aca="false">参数与输入!A11</f>
        <v>高新园区</v>
      </c>
      <c r="B5" s="15" t="n">
        <f aca="false">参数与输入!D11-参数与输入!E11</f>
        <v>28.5</v>
      </c>
      <c r="C5" s="16" t="n">
        <f aca="false">IF(参数与输入!D11=0,0,B5/参数与输入!D11)</f>
        <v>0.254919499105546</v>
      </c>
      <c r="D5" s="17" t="str">
        <f aca="false">IF(C5&gt;=参数与输入!$B$5,"达标","关注")</f>
        <v>关注</v>
      </c>
      <c r="E5" s="17" t="n">
        <f aca="false">RANK(C5,$C$4:$C$11)</f>
        <v>4</v>
      </c>
    </row>
    <row r="6" customFormat="false" ht="15" hidden="false" customHeight="false" outlineLevel="0" collapsed="false">
      <c r="A6" s="14" t="str">
        <f aca="false">参数与输入!A12</f>
        <v>老城区</v>
      </c>
      <c r="B6" s="15" t="n">
        <f aca="false">参数与输入!D12-参数与输入!E12</f>
        <v>20</v>
      </c>
      <c r="C6" s="16" t="n">
        <f aca="false">IF(参数与输入!D12=0,0,B6/参数与输入!D12)</f>
        <v>0.132802124833997</v>
      </c>
      <c r="D6" s="17" t="str">
        <f aca="false">IF(C6&gt;=参数与输入!$B$5,"达标","关注")</f>
        <v>关注</v>
      </c>
      <c r="E6" s="17" t="n">
        <f aca="false">RANK(C6,$C$4:$C$11)</f>
        <v>8</v>
      </c>
    </row>
    <row r="7" customFormat="false" ht="15" hidden="false" customHeight="false" outlineLevel="0" collapsed="false">
      <c r="A7" s="14" t="str">
        <f aca="false">参数与输入!A13</f>
        <v>大学城</v>
      </c>
      <c r="B7" s="15" t="n">
        <f aca="false">参数与输入!D13-参数与输入!E13</f>
        <v>21.1</v>
      </c>
      <c r="C7" s="16" t="n">
        <f aca="false">IF(参数与输入!D13=0,0,B7/参数与输入!D13)</f>
        <v>0.134738186462324</v>
      </c>
      <c r="D7" s="17" t="str">
        <f aca="false">IF(C7&gt;=参数与输入!$B$5,"达标","关注")</f>
        <v>关注</v>
      </c>
      <c r="E7" s="17" t="n">
        <f aca="false">RANK(C7,$C$4:$C$11)</f>
        <v>7</v>
      </c>
    </row>
    <row r="8" customFormat="false" ht="15" hidden="false" customHeight="false" outlineLevel="0" collapsed="false">
      <c r="A8" s="14" t="str">
        <f aca="false">参数与输入!A14</f>
        <v>工业园</v>
      </c>
      <c r="B8" s="15" t="n">
        <f aca="false">参数与输入!D14-参数与输入!E14</f>
        <v>12.7</v>
      </c>
      <c r="C8" s="16" t="n">
        <f aca="false">IF(参数与输入!D14=0,0,B8/参数与输入!D14)</f>
        <v>0.208196721311475</v>
      </c>
      <c r="D8" s="17" t="str">
        <f aca="false">IF(C8&gt;=参数与输入!$B$5,"达标","关注")</f>
        <v>关注</v>
      </c>
      <c r="E8" s="17" t="n">
        <f aca="false">RANK(C8,$C$4:$C$11)</f>
        <v>5</v>
      </c>
    </row>
    <row r="9" customFormat="false" ht="15" hidden="false" customHeight="false" outlineLevel="0" collapsed="false">
      <c r="A9" s="14" t="str">
        <f aca="false">参数与输入!A15</f>
        <v>临港新区</v>
      </c>
      <c r="B9" s="15" t="n">
        <f aca="false">参数与输入!D15-参数与输入!E15</f>
        <v>31</v>
      </c>
      <c r="C9" s="16" t="n">
        <f aca="false">IF(参数与输入!D15=0,0,B9/参数与输入!D15)</f>
        <v>0.295519542421354</v>
      </c>
      <c r="D9" s="17" t="str">
        <f aca="false">IF(C9&gt;=参数与输入!$B$5,"达标","关注")</f>
        <v>关注</v>
      </c>
      <c r="E9" s="17" t="n">
        <f aca="false">RANK(C9,$C$4:$C$11)</f>
        <v>1</v>
      </c>
    </row>
    <row r="10" customFormat="false" ht="15" hidden="false" customHeight="false" outlineLevel="0" collapsed="false">
      <c r="A10" s="14" t="str">
        <f aca="false">参数与输入!A16</f>
        <v>县域乡镇</v>
      </c>
      <c r="B10" s="15" t="n">
        <f aca="false">参数与输入!D16-参数与输入!E16</f>
        <v>17.1</v>
      </c>
      <c r="C10" s="16" t="n">
        <f aca="false">IF(参数与输入!D16=0,0,B10/参数与输入!D16)</f>
        <v>0.258308157099698</v>
      </c>
      <c r="D10" s="17" t="str">
        <f aca="false">IF(C10&gt;=参数与输入!$B$5,"达标","关注")</f>
        <v>关注</v>
      </c>
      <c r="E10" s="17" t="n">
        <f aca="false">RANK(C10,$C$4:$C$11)</f>
        <v>3</v>
      </c>
    </row>
    <row r="11" customFormat="false" ht="15" hidden="false" customHeight="false" outlineLevel="0" collapsed="false">
      <c r="A11" s="14" t="str">
        <f aca="false">参数与输入!A17</f>
        <v>商圈写字楼</v>
      </c>
      <c r="B11" s="15" t="n">
        <f aca="false">参数与输入!D17-参数与输入!E17</f>
        <v>21.3</v>
      </c>
      <c r="C11" s="16" t="n">
        <f aca="false">IF(参数与输入!D17=0,0,B11/参数与输入!D17)</f>
        <v>0.270304568527919</v>
      </c>
      <c r="D11" s="17" t="str">
        <f aca="false">IF(C11&gt;=参数与输入!$B$5,"达标","关注")</f>
        <v>关注</v>
      </c>
      <c r="E11" s="17" t="n">
        <f aca="false">RANK(C11,$C$4:$C$11)</f>
        <v>2</v>
      </c>
    </row>
    <row r="13" customFormat="false" ht="15" hidden="false" customHeight="false" outlineLevel="0" collapsed="false">
      <c r="A13" s="3" t="s">
        <v>45</v>
      </c>
    </row>
    <row r="14" customFormat="false" ht="15" hidden="false" customHeight="false" outlineLevel="0" collapsed="false">
      <c r="A14" s="18" t="s">
        <v>46</v>
      </c>
      <c r="B14" s="15" t="n">
        <f aca="false">SUM(B4:B11)</f>
        <v>176.5</v>
      </c>
    </row>
    <row r="15" customFormat="false" ht="15" hidden="false" customHeight="false" outlineLevel="0" collapsed="false">
      <c r="A15" s="18" t="s">
        <v>47</v>
      </c>
      <c r="B15" s="16" t="n">
        <f aca="false">AVERAGE(C4:C11)</f>
        <v>0.215001498038244</v>
      </c>
    </row>
    <row r="16" customFormat="false" ht="15" hidden="false" customHeight="false" outlineLevel="0" collapsed="false">
      <c r="A16" s="18" t="s">
        <v>48</v>
      </c>
      <c r="B16" s="19" t="n">
        <f aca="false">COUNTIF(D4:D11,"达标")</f>
        <v>0</v>
      </c>
    </row>
    <row r="17" customFormat="false" ht="15" hidden="false" customHeight="false" outlineLevel="0" collapsed="false">
      <c r="A17" s="18" t="s">
        <v>49</v>
      </c>
      <c r="B17" s="16" t="n">
        <f aca="false">MAX(C4:C11)</f>
        <v>0.295519542421354</v>
      </c>
    </row>
    <row r="18" customFormat="false" ht="15" hidden="false" customHeight="false" outlineLevel="0" collapsed="false">
      <c r="A18" s="18" t="s">
        <v>50</v>
      </c>
      <c r="B18" s="16" t="n">
        <f aca="false">MIN(C4:C11)</f>
        <v>0.132802124833997</v>
      </c>
    </row>
    <row r="19" customFormat="false" ht="15" hidden="false" customHeight="false" outlineLevel="0" collapsed="false">
      <c r="A19" s="18" t="s">
        <v>51</v>
      </c>
      <c r="B19" s="20" t="n">
        <f aca="false">B14*参数与输入!$B$7</f>
        <v>2118</v>
      </c>
    </row>
    <row r="21" customFormat="false" ht="15" hidden="false" customHeight="false" outlineLevel="0" collapsed="false">
      <c r="A21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53</v>
      </c>
    </row>
    <row r="3" customFormat="false" ht="15" hidden="false" customHeight="false" outlineLevel="0" collapsed="false">
      <c r="A3" s="10" t="s">
        <v>54</v>
      </c>
      <c r="B3" s="10" t="s">
        <v>55</v>
      </c>
      <c r="C3" s="10" t="s">
        <v>56</v>
      </c>
      <c r="D3" s="10" t="s">
        <v>57</v>
      </c>
    </row>
    <row r="4" customFormat="false" ht="15" hidden="false" customHeight="false" outlineLevel="0" collapsed="false">
      <c r="A4" s="21" t="s">
        <v>58</v>
      </c>
      <c r="B4" s="17" t="n">
        <f aca="false">COUNTA(参数与输入!A10:A17)</f>
        <v>8</v>
      </c>
      <c r="C4" s="17" t="n">
        <v>8</v>
      </c>
      <c r="D4" s="17" t="str">
        <f aca="false">IF(B4=8,"通过","异常")</f>
        <v>通过</v>
      </c>
    </row>
    <row r="5" customFormat="false" ht="15" hidden="false" customHeight="false" outlineLevel="0" collapsed="false">
      <c r="A5" s="21" t="s">
        <v>59</v>
      </c>
      <c r="B5" s="17" t="n">
        <f aca="false">SUMPRODUCT(--ISNUMBER(参数与输入!C10:E17))</f>
        <v>24</v>
      </c>
      <c r="C5" s="17" t="n">
        <v>24</v>
      </c>
      <c r="D5" s="17" t="str">
        <f aca="false">IF(B5=24,"通过","异常")</f>
        <v>通过</v>
      </c>
    </row>
    <row r="6" customFormat="false" ht="15" hidden="false" customHeight="false" outlineLevel="0" collapsed="false">
      <c r="A6" s="21" t="s">
        <v>60</v>
      </c>
      <c r="B6" s="17" t="n">
        <f aca="false">SUMPRODUCT(--(参数与输入!E10:E17&gt;=参数与输入!D10:D17))</f>
        <v>0</v>
      </c>
      <c r="C6" s="17" t="n">
        <v>0</v>
      </c>
      <c r="D6" s="17" t="str">
        <f aca="false">IF(B6=0,"通过","异常")</f>
        <v>通过</v>
      </c>
    </row>
    <row r="7" customFormat="false" ht="15" hidden="false" customHeight="false" outlineLevel="0" collapsed="false">
      <c r="A7" s="21" t="s">
        <v>61</v>
      </c>
      <c r="B7" s="17" t="n">
        <f aca="false">ROUND(SUM(分析计算!B4:B11)-(SUM(参数与输入!D10:D17)-SUM(参数与输入!E10:E17)),4)</f>
        <v>0</v>
      </c>
      <c r="C7" s="17" t="n">
        <v>0</v>
      </c>
      <c r="D7" s="17" t="str">
        <f aca="false">IF(ABS(B7)&lt;0.001,"通过","异常")</f>
        <v>通过</v>
      </c>
    </row>
    <row r="8" customFormat="false" ht="15" hidden="false" customHeight="false" outlineLevel="0" collapsed="false">
      <c r="A8" s="21" t="s">
        <v>62</v>
      </c>
      <c r="B8" s="17" t="n">
        <f aca="false">SUMPRODUCT(--(分析计算!C4:C11&lt;0))+SUMPRODUCT(--(分析计算!C4:C11&gt;1))</f>
        <v>0</v>
      </c>
      <c r="C8" s="17" t="n">
        <v>0</v>
      </c>
      <c r="D8" s="17" t="str">
        <f aca="false">IF(B8=0,"通过","异常")</f>
        <v>通过</v>
      </c>
    </row>
    <row r="10" customFormat="false" ht="15" hidden="false" customHeight="false" outlineLevel="0" collapsed="false">
      <c r="A10" s="3" t="s">
        <v>63</v>
      </c>
      <c r="B10" s="22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65</v>
      </c>
    </row>
    <row r="30" customFormat="false" ht="15" hidden="false" customHeight="false" outlineLevel="0" collapsed="false">
      <c r="A30" s="3" t="s">
        <v>66</v>
      </c>
    </row>
    <row r="31" customFormat="false" ht="15" hidden="false" customHeight="false" outlineLevel="0" collapsed="false">
      <c r="A31" s="10" t="s">
        <v>67</v>
      </c>
      <c r="B31" s="10" t="s">
        <v>68</v>
      </c>
      <c r="C31" s="10" t="s">
        <v>69</v>
      </c>
      <c r="D31" s="10" t="s">
        <v>70</v>
      </c>
    </row>
    <row r="32" customFormat="false" ht="15" hidden="false" customHeight="false" outlineLevel="0" collapsed="false">
      <c r="A32" s="21" t="s">
        <v>71</v>
      </c>
      <c r="B32" s="21" t="s">
        <v>72</v>
      </c>
      <c r="C32" s="11" t="n">
        <v>4.2</v>
      </c>
      <c r="D32" s="11" t="n">
        <v>3.1</v>
      </c>
    </row>
    <row r="33" customFormat="false" ht="15" hidden="false" customHeight="false" outlineLevel="0" collapsed="false">
      <c r="A33" s="21" t="s">
        <v>73</v>
      </c>
      <c r="B33" s="21" t="s">
        <v>74</v>
      </c>
      <c r="C33" s="11" t="n">
        <v>85</v>
      </c>
      <c r="D33" s="11" t="n">
        <v>120</v>
      </c>
    </row>
    <row r="34" customFormat="false" ht="15" hidden="false" customHeight="false" outlineLevel="0" collapsed="false">
      <c r="A34" s="21" t="s">
        <v>75</v>
      </c>
      <c r="B34" s="21" t="s">
        <v>76</v>
      </c>
      <c r="C34" s="11" t="n">
        <v>26</v>
      </c>
      <c r="D34" s="11" t="n">
        <v>19</v>
      </c>
    </row>
    <row r="35" customFormat="false" ht="15" hidden="false" customHeight="false" outlineLevel="0" collapsed="false">
      <c r="A35" s="21" t="s">
        <v>77</v>
      </c>
      <c r="B35" s="23" t="s">
        <v>78</v>
      </c>
      <c r="C35" s="11" t="n">
        <v>7</v>
      </c>
      <c r="D35" s="11" t="n">
        <v>2.5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2026-08-31T15:00:44Z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