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omments3.xml" ContentType="application/vnd.openxmlformats-officedocument.spreadsheetml.comment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vmlDrawing1.vml" ContentType="application/vnd.openxmlformats-officedocument.vmlDrawing"/>
  <Override PartName="/xl/drawings/_rels/drawing4.xml.rels" ContentType="application/vnd.openxmlformats-package.relationships+xml"/>
  <Override PartName="/xl/drawings/_rels/drawing1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假设" sheetId="2" state="visible" r:id="rId3"/>
    <sheet name="销售明细" sheetId="3" state="visible" r:id="rId4"/>
    <sheet name="月度汇总" sheetId="4" state="visible" r:id="rId5"/>
    <sheet name="产品排名" sheetId="5" state="visible" r:id="rId6"/>
    <sheet name="区域分析" sheetId="6" state="visible" r:id="rId7"/>
    <sheet name="仪表盘" sheetId="7" state="visible" r:id="rId8"/>
    <sheet name="数据校验" sheetId="8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L6" authorId="0">
      <text>
        <r>
          <rPr>
            <sz val="11"/>
            <color rgb="FF000000"/>
            <rFont val="Noto Sans CJK SC"/>
            <family val="2"/>
          </rPr>
          <t xml:space="preserve">销售额 </t>
        </r>
        <r>
          <rPr>
            <sz val="11"/>
            <color rgb="FF000000"/>
            <rFont val="Calibri"/>
            <family val="2"/>
            <charset val="1"/>
          </rPr>
          <t xml:space="preserve">= </t>
        </r>
        <r>
          <rPr>
            <sz val="11"/>
            <color rgb="FF000000"/>
            <rFont val="Noto Sans CJK SC"/>
            <family val="2"/>
          </rPr>
          <t xml:space="preserve">单价 </t>
        </r>
        <r>
          <rPr>
            <sz val="11"/>
            <color rgb="FF000000"/>
            <rFont val="Calibri"/>
            <family val="2"/>
            <charset val="1"/>
          </rPr>
          <t xml:space="preserve">× </t>
        </r>
        <r>
          <rPr>
            <sz val="11"/>
            <color rgb="FF000000"/>
            <rFont val="Noto Sans CJK SC"/>
            <family val="2"/>
          </rPr>
          <t xml:space="preserve">数量</t>
        </r>
      </text>
    </comment>
    <comment ref="O6" authorId="0">
      <text>
        <r>
          <rPr>
            <sz val="11"/>
            <color rgb="FF000000"/>
            <rFont val="Noto Sans CJK SC"/>
            <family val="2"/>
          </rPr>
          <t xml:space="preserve">毛利 </t>
        </r>
        <r>
          <rPr>
            <sz val="11"/>
            <color rgb="FF000000"/>
            <rFont val="Calibri"/>
            <family val="2"/>
            <charset val="1"/>
          </rPr>
          <t xml:space="preserve">= </t>
        </r>
        <r>
          <rPr>
            <sz val="11"/>
            <color rgb="FF000000"/>
            <rFont val="Noto Sans CJK SC"/>
            <family val="2"/>
          </rPr>
          <t xml:space="preserve">销售额 − 成本</t>
        </r>
      </text>
    </comment>
  </commentList>
</comments>
</file>

<file path=xl/sharedStrings.xml><?xml version="1.0" encoding="utf-8"?>
<sst xmlns="http://schemas.openxmlformats.org/spreadsheetml/2006/main" count="1054" uniqueCount="275">
  <si>
    <r>
      <rPr>
        <b val="true"/>
        <sz val="18"/>
        <color rgb="FFFFFFFF"/>
        <rFont val="Arial"/>
        <family val="0"/>
        <charset val="1"/>
      </rPr>
      <t xml:space="preserve">Excel </t>
    </r>
    <r>
      <rPr>
        <b val="true"/>
        <sz val="18"/>
        <color rgb="FFFFFFFF"/>
        <rFont val="Noto Sans CJK SC"/>
        <family val="2"/>
      </rPr>
      <t xml:space="preserve">销售数据分析与自动报表 </t>
    </r>
    <r>
      <rPr>
        <b val="true"/>
        <sz val="18"/>
        <color rgb="FFFFFFFF"/>
        <rFont val="Arial"/>
        <family val="0"/>
        <charset val="1"/>
      </rPr>
      <t xml:space="preserve">· </t>
    </r>
    <r>
      <rPr>
        <b val="true"/>
        <sz val="18"/>
        <color rgb="FFFFFFFF"/>
        <rFont val="Noto Sans CJK SC"/>
        <family val="2"/>
      </rPr>
      <t xml:space="preserve">标准版</t>
    </r>
  </si>
  <si>
    <r>
      <rPr>
        <i val="true"/>
        <sz val="11"/>
        <color rgb="FFFFFFFF"/>
        <rFont val="Noto Sans CJK SC"/>
        <family val="2"/>
      </rPr>
      <t xml:space="preserve">自动汇总 </t>
    </r>
    <r>
      <rPr>
        <i val="true"/>
        <sz val="11"/>
        <color rgb="FFFFFFFF"/>
        <rFont val="Arial"/>
        <family val="0"/>
        <charset val="1"/>
      </rPr>
      <t xml:space="preserve">· </t>
    </r>
    <r>
      <rPr>
        <i val="true"/>
        <sz val="11"/>
        <color rgb="FFFFFFFF"/>
        <rFont val="Noto Sans CJK SC"/>
        <family val="2"/>
      </rPr>
      <t xml:space="preserve">月度趋势 </t>
    </r>
    <r>
      <rPr>
        <i val="true"/>
        <sz val="11"/>
        <color rgb="FFFFFFFF"/>
        <rFont val="Arial"/>
        <family val="0"/>
        <charset val="1"/>
      </rPr>
      <t xml:space="preserve">· </t>
    </r>
    <r>
      <rPr>
        <i val="true"/>
        <sz val="11"/>
        <color rgb="FFFFFFFF"/>
        <rFont val="Noto Sans CJK SC"/>
        <family val="2"/>
      </rPr>
      <t xml:space="preserve">产品排名 </t>
    </r>
    <r>
      <rPr>
        <i val="true"/>
        <sz val="11"/>
        <color rgb="FFFFFFFF"/>
        <rFont val="Arial"/>
        <family val="0"/>
        <charset val="1"/>
      </rPr>
      <t xml:space="preserve">· </t>
    </r>
    <r>
      <rPr>
        <i val="true"/>
        <sz val="11"/>
        <color rgb="FFFFFFFF"/>
        <rFont val="Noto Sans CJK SC"/>
        <family val="2"/>
      </rPr>
      <t xml:space="preserve">图表仪表盘</t>
    </r>
  </si>
  <si>
    <t xml:space="preserve">模板用途</t>
  </si>
  <si>
    <r>
      <rPr>
        <sz val="11"/>
        <color rgb="FF333333"/>
        <rFont val="Noto Sans CJK SC"/>
        <family val="2"/>
      </rPr>
      <t xml:space="preserve">面向销售</t>
    </r>
    <r>
      <rPr>
        <sz val="11"/>
        <color rgb="FF333333"/>
        <rFont val="Arial"/>
        <family val="0"/>
        <charset val="1"/>
      </rPr>
      <t xml:space="preserve">/</t>
    </r>
    <r>
      <rPr>
        <sz val="11"/>
        <color rgb="FF333333"/>
        <rFont val="Noto Sans CJK SC"/>
        <family val="2"/>
      </rPr>
      <t xml:space="preserve">运营团队的通用销售数据分析底稿，录入明细后自动生成汇总、趋势、排名与仪表盘。</t>
    </r>
  </si>
  <si>
    <t xml:space="preserve">适用场景</t>
  </si>
  <si>
    <t xml:space="preserve">月度经营分析会、季度复盘、产品线管理、区域业绩对比。</t>
  </si>
  <si>
    <t xml:space="preserve">数据说明</t>
  </si>
  <si>
    <t xml:space="preserve">本模板内含示例数据（虚构，用于演示），非真实客户或真实调研数据，使用前请替换为自有数据。</t>
  </si>
  <si>
    <t xml:space="preserve">版本</t>
  </si>
  <si>
    <r>
      <rPr>
        <sz val="11"/>
        <color rgb="FF333333"/>
        <rFont val="Arial"/>
        <family val="0"/>
        <charset val="1"/>
      </rPr>
      <t xml:space="preserve">v1.0  </t>
    </r>
    <r>
      <rPr>
        <sz val="11"/>
        <color rgb="FF333333"/>
        <rFont val="Noto Sans CJK SC"/>
        <family val="2"/>
      </rPr>
      <t xml:space="preserve">标准版（完整功能）</t>
    </r>
  </si>
  <si>
    <t xml:space="preserve">生成日期</t>
  </si>
  <si>
    <t xml:space="preserve">2026-08-31</t>
  </si>
  <si>
    <t xml:space="preserve">工作表导航</t>
  </si>
  <si>
    <t xml:space="preserve">工作表</t>
  </si>
  <si>
    <t xml:space="preserve">内容说明</t>
  </si>
  <si>
    <t xml:space="preserve">说明</t>
  </si>
  <si>
    <t xml:space="preserve">封面与使用指引（本页）</t>
  </si>
  <si>
    <t xml:space="preserve">参数假设</t>
  </si>
  <si>
    <t xml:space="preserve">分析期间、目标、成本率等关键假设（可修改，黄色单元格）</t>
  </si>
  <si>
    <t xml:space="preserve">销售明细</t>
  </si>
  <si>
    <t xml:space="preserve">示例交易明细，含自动计算的销售额与毛利</t>
  </si>
  <si>
    <t xml:space="preserve">月度汇总</t>
  </si>
  <si>
    <t xml:space="preserve">按月自动汇总销售额、毛利、订单数与环比趋势</t>
  </si>
  <si>
    <t xml:space="preserve">产品排名</t>
  </si>
  <si>
    <r>
      <rPr>
        <sz val="10"/>
        <color rgb="FF333333"/>
        <rFont val="Noto Sans CJK SC"/>
        <family val="2"/>
      </rPr>
      <t xml:space="preserve">按产品汇总并排名，含 </t>
    </r>
    <r>
      <rPr>
        <sz val="10"/>
        <color rgb="FF333333"/>
        <rFont val="Arial"/>
        <family val="0"/>
        <charset val="1"/>
      </rPr>
      <t xml:space="preserve">ABC </t>
    </r>
    <r>
      <rPr>
        <sz val="10"/>
        <color rgb="FF333333"/>
        <rFont val="Noto Sans CJK SC"/>
        <family val="2"/>
      </rPr>
      <t xml:space="preserve">贡献分析</t>
    </r>
  </si>
  <si>
    <t xml:space="preserve">区域分析</t>
  </si>
  <si>
    <t xml:space="preserve">按区域汇总销售额与毛利率</t>
  </si>
  <si>
    <t xml:space="preserve">仪表盘</t>
  </si>
  <si>
    <t xml:space="preserve">关键指标卡片与四张核心图表</t>
  </si>
  <si>
    <t xml:space="preserve">数据校验</t>
  </si>
  <si>
    <t xml:space="preserve">自动勾稽与错误检查，确保报表可审计</t>
  </si>
  <si>
    <t xml:space="preserve">使用步骤：① 在「参数假设」核对期间与目标 → ② 在「销售明细」录入或替换数据 → ③ 各汇总表与仪表盘自动刷新 → ④ 查看「数据校验」确认全部通过。</t>
  </si>
  <si>
    <t xml:space="preserve">参数与假设</t>
  </si>
  <si>
    <t xml:space="preserve">黄色单元格为可修改输入项（蓝色字体表示手工输入）</t>
  </si>
  <si>
    <t xml:space="preserve">参数</t>
  </si>
  <si>
    <t xml:space="preserve">取值</t>
  </si>
  <si>
    <t xml:space="preserve">分析年度</t>
  </si>
  <si>
    <t xml:space="preserve">本模板示例数据所属年度（文本年份，仅标识）</t>
  </si>
  <si>
    <t xml:space="preserve">分析期间</t>
  </si>
  <si>
    <r>
      <rPr>
        <b val="true"/>
        <sz val="11"/>
        <color rgb="FF0000FF"/>
        <rFont val="Arial"/>
        <family val="0"/>
        <charset val="1"/>
      </rPr>
      <t xml:space="preserve">2025</t>
    </r>
    <r>
      <rPr>
        <b val="true"/>
        <sz val="11"/>
        <color rgb="FF0000FF"/>
        <rFont val="Noto Sans CJK SC"/>
        <family val="2"/>
      </rPr>
      <t xml:space="preserve">年</t>
    </r>
    <r>
      <rPr>
        <b val="true"/>
        <sz val="11"/>
        <color rgb="FF0000FF"/>
        <rFont val="Arial"/>
        <family val="0"/>
        <charset val="1"/>
      </rPr>
      <t xml:space="preserve">1</t>
    </r>
    <r>
      <rPr>
        <b val="true"/>
        <sz val="11"/>
        <color rgb="FF0000FF"/>
        <rFont val="Noto Sans CJK SC"/>
        <family val="2"/>
      </rPr>
      <t xml:space="preserve">月</t>
    </r>
    <r>
      <rPr>
        <b val="true"/>
        <sz val="11"/>
        <color rgb="FF0000FF"/>
        <rFont val="Arial"/>
        <family val="0"/>
        <charset val="1"/>
      </rPr>
      <t xml:space="preserve">-12</t>
    </r>
    <r>
      <rPr>
        <b val="true"/>
        <sz val="11"/>
        <color rgb="FF0000FF"/>
        <rFont val="Noto Sans CJK SC"/>
        <family val="2"/>
      </rPr>
      <t xml:space="preserve">月</t>
    </r>
  </si>
  <si>
    <t xml:space="preserve">覆盖的月份范围</t>
  </si>
  <si>
    <r>
      <rPr>
        <b val="true"/>
        <sz val="11"/>
        <color rgb="FF1F3864"/>
        <rFont val="Noto Sans CJK SC"/>
        <family val="2"/>
      </rPr>
      <t xml:space="preserve">目标月均销售额</t>
    </r>
    <r>
      <rPr>
        <b val="true"/>
        <sz val="11"/>
        <color rgb="FF1F3864"/>
        <rFont val="Arial"/>
        <family val="0"/>
        <charset val="1"/>
      </rPr>
      <t xml:space="preserve">(</t>
    </r>
    <r>
      <rPr>
        <b val="true"/>
        <sz val="11"/>
        <color rgb="FF1F3864"/>
        <rFont val="Noto Sans CJK SC"/>
        <family val="2"/>
      </rPr>
      <t xml:space="preserve">元</t>
    </r>
    <r>
      <rPr>
        <b val="true"/>
        <sz val="11"/>
        <color rgb="FF1F3864"/>
        <rFont val="Arial"/>
        <family val="0"/>
        <charset val="1"/>
      </rPr>
      <t xml:space="preserve">)</t>
    </r>
  </si>
  <si>
    <t xml:space="preserve">用于仪表盘达成率对比的月度目标</t>
  </si>
  <si>
    <t xml:space="preserve">目标毛利率</t>
  </si>
  <si>
    <t xml:space="preserve">公司设定的目标毛利率（百分比）</t>
  </si>
  <si>
    <t xml:space="preserve">默认成本率</t>
  </si>
  <si>
    <t xml:space="preserve">明细表未单独填成本时的兜底成本率</t>
  </si>
  <si>
    <r>
      <rPr>
        <b val="true"/>
        <sz val="11"/>
        <color rgb="FF1F3864"/>
        <rFont val="Arial"/>
        <family val="0"/>
        <charset val="1"/>
      </rPr>
      <t xml:space="preserve">ABC-A</t>
    </r>
    <r>
      <rPr>
        <b val="true"/>
        <sz val="11"/>
        <color rgb="FF1F3864"/>
        <rFont val="Noto Sans CJK SC"/>
        <family val="2"/>
      </rPr>
      <t xml:space="preserve">类累计阈值</t>
    </r>
  </si>
  <si>
    <r>
      <rPr>
        <sz val="10"/>
        <color rgb="FF333333"/>
        <rFont val="Noto Sans CJK SC"/>
        <family val="2"/>
      </rPr>
      <t xml:space="preserve">帕累托分析中 </t>
    </r>
    <r>
      <rPr>
        <sz val="10"/>
        <color rgb="FF333333"/>
        <rFont val="Arial"/>
        <family val="0"/>
        <charset val="1"/>
      </rPr>
      <t xml:space="preserve">A </t>
    </r>
    <r>
      <rPr>
        <sz val="10"/>
        <color rgb="FF333333"/>
        <rFont val="Noto Sans CJK SC"/>
        <family val="2"/>
      </rPr>
      <t xml:space="preserve">类累计占比上限</t>
    </r>
  </si>
  <si>
    <r>
      <rPr>
        <b val="true"/>
        <sz val="11"/>
        <color rgb="FF1F3864"/>
        <rFont val="Arial"/>
        <family val="0"/>
        <charset val="1"/>
      </rPr>
      <t xml:space="preserve">ABC-B</t>
    </r>
    <r>
      <rPr>
        <b val="true"/>
        <sz val="11"/>
        <color rgb="FF1F3864"/>
        <rFont val="Noto Sans CJK SC"/>
        <family val="2"/>
      </rPr>
      <t xml:space="preserve">类累计阈值</t>
    </r>
  </si>
  <si>
    <r>
      <rPr>
        <sz val="10"/>
        <color rgb="FF333333"/>
        <rFont val="Noto Sans CJK SC"/>
        <family val="2"/>
      </rPr>
      <t xml:space="preserve">帕累托分析中 </t>
    </r>
    <r>
      <rPr>
        <sz val="10"/>
        <color rgb="FF333333"/>
        <rFont val="Arial"/>
        <family val="0"/>
        <charset val="1"/>
      </rPr>
      <t xml:space="preserve">B </t>
    </r>
    <r>
      <rPr>
        <sz val="10"/>
        <color rgb="FF333333"/>
        <rFont val="Noto Sans CJK SC"/>
        <family val="2"/>
      </rPr>
      <t xml:space="preserve">类累计占比上限</t>
    </r>
  </si>
  <si>
    <t xml:space="preserve">币种单位</t>
  </si>
  <si>
    <t xml:space="preserve">人民币元</t>
  </si>
  <si>
    <t xml:space="preserve">全表金额单位</t>
  </si>
  <si>
    <r>
      <rPr>
        <b val="true"/>
        <sz val="18"/>
        <color rgb="FFFFFFFF"/>
        <rFont val="Noto Sans CJK SC"/>
        <family val="2"/>
      </rPr>
      <t xml:space="preserve">销售明细（示例数据 </t>
    </r>
    <r>
      <rPr>
        <b val="true"/>
        <sz val="18"/>
        <color rgb="FFFFFFFF"/>
        <rFont val="Arial"/>
        <family val="0"/>
        <charset val="1"/>
      </rPr>
      <t xml:space="preserve">· </t>
    </r>
    <r>
      <rPr>
        <b val="true"/>
        <sz val="18"/>
        <color rgb="FFFFFFFF"/>
        <rFont val="Noto Sans CJK SC"/>
        <family val="2"/>
      </rPr>
      <t xml:space="preserve">虚构仅供演示）</t>
    </r>
  </si>
  <si>
    <t xml:space="preserve">灰色列为自动计算列（销售额、成本、毛利、毛利率均由公式生成，可追溯审计）</t>
  </si>
  <si>
    <t xml:space="preserve">订单号</t>
  </si>
  <si>
    <t xml:space="preserve">日期</t>
  </si>
  <si>
    <t xml:space="preserve">月份</t>
  </si>
  <si>
    <t xml:space="preserve">区域</t>
  </si>
  <si>
    <t xml:space="preserve">销售员</t>
  </si>
  <si>
    <t xml:space="preserve">渠道</t>
  </si>
  <si>
    <t xml:space="preserve">产品编码</t>
  </si>
  <si>
    <t xml:space="preserve">产品名称</t>
  </si>
  <si>
    <t xml:space="preserve">产品类别</t>
  </si>
  <si>
    <r>
      <rPr>
        <b val="true"/>
        <sz val="11"/>
        <color rgb="FFFFFFFF"/>
        <rFont val="Noto Sans CJK SC"/>
        <family val="2"/>
      </rPr>
      <t xml:space="preserve">单价</t>
    </r>
    <r>
      <rPr>
        <b val="true"/>
        <sz val="11"/>
        <color rgb="FFFFFFFF"/>
        <rFont val="Arial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元</t>
    </r>
    <r>
      <rPr>
        <b val="true"/>
        <sz val="11"/>
        <color rgb="FFFFFFFF"/>
        <rFont val="Arial"/>
        <family val="0"/>
        <charset val="1"/>
      </rPr>
      <t xml:space="preserve">)</t>
    </r>
  </si>
  <si>
    <t xml:space="preserve">数量</t>
  </si>
  <si>
    <r>
      <rPr>
        <b val="true"/>
        <sz val="11"/>
        <color rgb="FFFFFFFF"/>
        <rFont val="Noto Sans CJK SC"/>
        <family val="2"/>
      </rPr>
      <t xml:space="preserve">销售额</t>
    </r>
    <r>
      <rPr>
        <b val="true"/>
        <sz val="11"/>
        <color rgb="FFFFFFFF"/>
        <rFont val="Arial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元</t>
    </r>
    <r>
      <rPr>
        <b val="true"/>
        <sz val="11"/>
        <color rgb="FFFFFFFF"/>
        <rFont val="Arial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</si>
  <si>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单位成本</t>
    </r>
    <r>
      <rPr>
        <b val="true"/>
        <sz val="11"/>
        <color rgb="FFFFFFFF"/>
        <rFont val="Arial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元</t>
    </r>
    <r>
      <rPr>
        <b val="true"/>
        <sz val="11"/>
        <color rgb="FFFFFFFF"/>
        <rFont val="Arial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</si>
  <si>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成本</t>
    </r>
    <r>
      <rPr>
        <b val="true"/>
        <sz val="11"/>
        <color rgb="FFFFFFFF"/>
        <rFont val="Arial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元</t>
    </r>
    <r>
      <rPr>
        <b val="true"/>
        <sz val="11"/>
        <color rgb="FFFFFFFF"/>
        <rFont val="Arial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</si>
  <si>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毛利</t>
    </r>
    <r>
      <rPr>
        <b val="true"/>
        <sz val="11"/>
        <color rgb="FFFFFFFF"/>
        <rFont val="Arial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元</t>
    </r>
    <r>
      <rPr>
        <b val="true"/>
        <sz val="11"/>
        <color rgb="FFFFFFFF"/>
        <rFont val="Arial"/>
        <family val="0"/>
        <charset val="1"/>
      </rPr>
      <t xml:space="preserve">)</t>
    </r>
  </si>
  <si>
    <t xml:space="preserve">毛利率</t>
  </si>
  <si>
    <t xml:space="preserve">SO1001</t>
  </si>
  <si>
    <t xml:space="preserve">西部</t>
  </si>
  <si>
    <t xml:space="preserve">孙丽</t>
  </si>
  <si>
    <t xml:space="preserve">线上</t>
  </si>
  <si>
    <t xml:space="preserve">P-101</t>
  </si>
  <si>
    <t xml:space="preserve">智控温控器</t>
  </si>
  <si>
    <t xml:space="preserve">智能硬件</t>
  </si>
  <si>
    <t xml:space="preserve">SO1013</t>
  </si>
  <si>
    <t xml:space="preserve">华南</t>
  </si>
  <si>
    <t xml:space="preserve">陈强</t>
  </si>
  <si>
    <t xml:space="preserve">直销</t>
  </si>
  <si>
    <t xml:space="preserve">P-102</t>
  </si>
  <si>
    <t xml:space="preserve">无线传感网关</t>
  </si>
  <si>
    <t xml:space="preserve">SO1004</t>
  </si>
  <si>
    <t xml:space="preserve">周涛</t>
  </si>
  <si>
    <t xml:space="preserve">P-302</t>
  </si>
  <si>
    <t xml:space="preserve">运维托管年包</t>
  </si>
  <si>
    <t xml:space="preserve">专业服务</t>
  </si>
  <si>
    <t xml:space="preserve">SO1006</t>
  </si>
  <si>
    <t xml:space="preserve">SO1005</t>
  </si>
  <si>
    <t xml:space="preserve">华东</t>
  </si>
  <si>
    <t xml:space="preserve">李明</t>
  </si>
  <si>
    <t xml:space="preserve">SO1002</t>
  </si>
  <si>
    <t xml:space="preserve">P-202</t>
  </si>
  <si>
    <r>
      <rPr>
        <sz val="11"/>
        <color rgb="FF000000"/>
        <rFont val="Noto Sans CJK SC"/>
        <family val="2"/>
      </rPr>
      <t xml:space="preserve">能耗分析云</t>
    </r>
    <r>
      <rPr>
        <sz val="11"/>
        <color rgb="FF000000"/>
        <rFont val="Calibri"/>
        <family val="2"/>
        <charset val="1"/>
      </rPr>
      <t xml:space="preserve">-</t>
    </r>
    <r>
      <rPr>
        <sz val="11"/>
        <color rgb="FF000000"/>
        <rFont val="Noto Sans CJK SC"/>
        <family val="2"/>
      </rPr>
      <t xml:space="preserve">企业版</t>
    </r>
  </si>
  <si>
    <t xml:space="preserve">软件服务</t>
  </si>
  <si>
    <t xml:space="preserve">SO1011</t>
  </si>
  <si>
    <t xml:space="preserve">华北</t>
  </si>
  <si>
    <t xml:space="preserve">赵静</t>
  </si>
  <si>
    <t xml:space="preserve">P-301</t>
  </si>
  <si>
    <t xml:space="preserve">现场部署服务</t>
  </si>
  <si>
    <t xml:space="preserve">SO1012</t>
  </si>
  <si>
    <t xml:space="preserve">SO1008</t>
  </si>
  <si>
    <t xml:space="preserve">王芳</t>
  </si>
  <si>
    <t xml:space="preserve">SO1007</t>
  </si>
  <si>
    <t xml:space="preserve">SO1003</t>
  </si>
  <si>
    <t xml:space="preserve">SO1010</t>
  </si>
  <si>
    <t xml:space="preserve">P-201</t>
  </si>
  <si>
    <r>
      <rPr>
        <sz val="11"/>
        <color rgb="FF000000"/>
        <rFont val="Noto Sans CJK SC"/>
        <family val="2"/>
      </rPr>
      <t xml:space="preserve">能耗分析云</t>
    </r>
    <r>
      <rPr>
        <sz val="11"/>
        <color rgb="FF000000"/>
        <rFont val="Calibri"/>
        <family val="2"/>
        <charset val="1"/>
      </rPr>
      <t xml:space="preserve">-</t>
    </r>
    <r>
      <rPr>
        <sz val="11"/>
        <color rgb="FF000000"/>
        <rFont val="Noto Sans CJK SC"/>
        <family val="2"/>
      </rPr>
      <t xml:space="preserve">标准版</t>
    </r>
  </si>
  <si>
    <t xml:space="preserve">SO1009</t>
  </si>
  <si>
    <t xml:space="preserve">SO1020</t>
  </si>
  <si>
    <t xml:space="preserve">SO1023</t>
  </si>
  <si>
    <t xml:space="preserve">SO1018</t>
  </si>
  <si>
    <t xml:space="preserve">刘洋</t>
  </si>
  <si>
    <t xml:space="preserve">SO1015</t>
  </si>
  <si>
    <t xml:space="preserve">SO1017</t>
  </si>
  <si>
    <t xml:space="preserve">张伟</t>
  </si>
  <si>
    <t xml:space="preserve">SO1016</t>
  </si>
  <si>
    <t xml:space="preserve">SO1022</t>
  </si>
  <si>
    <t xml:space="preserve">SO1014</t>
  </si>
  <si>
    <t xml:space="preserve">SO1019</t>
  </si>
  <si>
    <t xml:space="preserve">SO1021</t>
  </si>
  <si>
    <t xml:space="preserve">SO1027</t>
  </si>
  <si>
    <t xml:space="preserve">SO1028</t>
  </si>
  <si>
    <t xml:space="preserve">SO1025</t>
  </si>
  <si>
    <t xml:space="preserve">SO1032</t>
  </si>
  <si>
    <t xml:space="preserve">SO1033</t>
  </si>
  <si>
    <t xml:space="preserve">SO1026</t>
  </si>
  <si>
    <t xml:space="preserve">SO1030</t>
  </si>
  <si>
    <t xml:space="preserve">SO1024</t>
  </si>
  <si>
    <t xml:space="preserve">SO1031</t>
  </si>
  <si>
    <t xml:space="preserve">SO1029</t>
  </si>
  <si>
    <t xml:space="preserve">SO1034</t>
  </si>
  <si>
    <t xml:space="preserve">SO1036</t>
  </si>
  <si>
    <t xml:space="preserve">SO1041</t>
  </si>
  <si>
    <t xml:space="preserve">SO1037</t>
  </si>
  <si>
    <t xml:space="preserve">SO1039</t>
  </si>
  <si>
    <t xml:space="preserve">SO1035</t>
  </si>
  <si>
    <t xml:space="preserve">SO1042</t>
  </si>
  <si>
    <t xml:space="preserve">SO1040</t>
  </si>
  <si>
    <t xml:space="preserve">SO1038</t>
  </si>
  <si>
    <t xml:space="preserve">SO1043</t>
  </si>
  <si>
    <t xml:space="preserve">SO1046</t>
  </si>
  <si>
    <t xml:space="preserve">SO1051</t>
  </si>
  <si>
    <t xml:space="preserve">SO1050</t>
  </si>
  <si>
    <t xml:space="preserve">SO1052</t>
  </si>
  <si>
    <t xml:space="preserve">SO1049</t>
  </si>
  <si>
    <t xml:space="preserve">SO1053</t>
  </si>
  <si>
    <t xml:space="preserve">SO1044</t>
  </si>
  <si>
    <t xml:space="preserve">SO1047</t>
  </si>
  <si>
    <t xml:space="preserve">SO1048</t>
  </si>
  <si>
    <t xml:space="preserve">SO1054</t>
  </si>
  <si>
    <t xml:space="preserve">SO1045</t>
  </si>
  <si>
    <t xml:space="preserve">SO1064</t>
  </si>
  <si>
    <t xml:space="preserve">SO1061</t>
  </si>
  <si>
    <t xml:space="preserve">SO1066</t>
  </si>
  <si>
    <t xml:space="preserve">SO1059</t>
  </si>
  <si>
    <t xml:space="preserve">SO1057</t>
  </si>
  <si>
    <t xml:space="preserve">SO1062</t>
  </si>
  <si>
    <t xml:space="preserve">SO1065</t>
  </si>
  <si>
    <t xml:space="preserve">SO1058</t>
  </si>
  <si>
    <t xml:space="preserve">SO1060</t>
  </si>
  <si>
    <t xml:space="preserve">SO1055</t>
  </si>
  <si>
    <t xml:space="preserve">SO1056</t>
  </si>
  <si>
    <t xml:space="preserve">SO1063</t>
  </si>
  <si>
    <t xml:space="preserve">SO1070</t>
  </si>
  <si>
    <t xml:space="preserve">SO1071</t>
  </si>
  <si>
    <t xml:space="preserve">SO1069</t>
  </si>
  <si>
    <t xml:space="preserve">SO1075</t>
  </si>
  <si>
    <t xml:space="preserve">SO1077</t>
  </si>
  <si>
    <t xml:space="preserve">SO1073</t>
  </si>
  <si>
    <t xml:space="preserve">SO1074</t>
  </si>
  <si>
    <t xml:space="preserve">SO1076</t>
  </si>
  <si>
    <t xml:space="preserve">SO1072</t>
  </si>
  <si>
    <t xml:space="preserve">SO1067</t>
  </si>
  <si>
    <t xml:space="preserve">SO1068</t>
  </si>
  <si>
    <t xml:space="preserve">SO1085</t>
  </si>
  <si>
    <t xml:space="preserve">SO1086</t>
  </si>
  <si>
    <t xml:space="preserve">SO1084</t>
  </si>
  <si>
    <t xml:space="preserve">SO1079</t>
  </si>
  <si>
    <t xml:space="preserve">SO1078</t>
  </si>
  <si>
    <t xml:space="preserve">SO1081</t>
  </si>
  <si>
    <t xml:space="preserve">SO1080</t>
  </si>
  <si>
    <t xml:space="preserve">SO1082</t>
  </si>
  <si>
    <t xml:space="preserve">SO1083</t>
  </si>
  <si>
    <t xml:space="preserve">SO1092</t>
  </si>
  <si>
    <t xml:space="preserve">SO1093</t>
  </si>
  <si>
    <t xml:space="preserve">SO1095</t>
  </si>
  <si>
    <t xml:space="preserve">SO1096</t>
  </si>
  <si>
    <t xml:space="preserve">SO1089</t>
  </si>
  <si>
    <t xml:space="preserve">SO1087</t>
  </si>
  <si>
    <t xml:space="preserve">SO1094</t>
  </si>
  <si>
    <t xml:space="preserve">SO1090</t>
  </si>
  <si>
    <t xml:space="preserve">SO1091</t>
  </si>
  <si>
    <t xml:space="preserve">SO1088</t>
  </si>
  <si>
    <t xml:space="preserve">SO1097</t>
  </si>
  <si>
    <t xml:space="preserve">SO1098</t>
  </si>
  <si>
    <t xml:space="preserve">SO1100</t>
  </si>
  <si>
    <t xml:space="preserve">SO1104</t>
  </si>
  <si>
    <t xml:space="preserve">SO1101</t>
  </si>
  <si>
    <t xml:space="preserve">SO1107</t>
  </si>
  <si>
    <t xml:space="preserve">SO1102</t>
  </si>
  <si>
    <t xml:space="preserve">SO1105</t>
  </si>
  <si>
    <t xml:space="preserve">SO1103</t>
  </si>
  <si>
    <t xml:space="preserve">SO1099</t>
  </si>
  <si>
    <t xml:space="preserve">SO1106</t>
  </si>
  <si>
    <t xml:space="preserve">SO1115</t>
  </si>
  <si>
    <t xml:space="preserve">SO1109</t>
  </si>
  <si>
    <t xml:space="preserve">SO1118</t>
  </si>
  <si>
    <t xml:space="preserve">SO1119</t>
  </si>
  <si>
    <t xml:space="preserve">SO1110</t>
  </si>
  <si>
    <t xml:space="preserve">SO1112</t>
  </si>
  <si>
    <t xml:space="preserve">SO1116</t>
  </si>
  <si>
    <t xml:space="preserve">SO1111</t>
  </si>
  <si>
    <t xml:space="preserve">SO1114</t>
  </si>
  <si>
    <t xml:space="preserve">SO1117</t>
  </si>
  <si>
    <t xml:space="preserve">SO1113</t>
  </si>
  <si>
    <t xml:space="preserve">SO1108</t>
  </si>
  <si>
    <t xml:space="preserve">SO1127</t>
  </si>
  <si>
    <t xml:space="preserve">SO1129</t>
  </si>
  <si>
    <t xml:space="preserve">SO1121</t>
  </si>
  <si>
    <t xml:space="preserve">SO1126</t>
  </si>
  <si>
    <t xml:space="preserve">SO1120</t>
  </si>
  <si>
    <t xml:space="preserve">SO1123</t>
  </si>
  <si>
    <t xml:space="preserve">SO1125</t>
  </si>
  <si>
    <t xml:space="preserve">SO1128</t>
  </si>
  <si>
    <t xml:space="preserve">SO1122</t>
  </si>
  <si>
    <t xml:space="preserve">SO1124</t>
  </si>
  <si>
    <t xml:space="preserve">合计</t>
  </si>
  <si>
    <t xml:space="preserve">月度汇总与趋势</t>
  </si>
  <si>
    <t xml:space="preserve">按月自动汇总，销售额环比与目标达成率随明细数据实时刷新</t>
  </si>
  <si>
    <t xml:space="preserve">订单数</t>
  </si>
  <si>
    <t xml:space="preserve">环比增长</t>
  </si>
  <si>
    <t xml:space="preserve">目标达成率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</si>
  <si>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月</t>
    </r>
  </si>
  <si>
    <t xml:space="preserve">—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</si>
  <si>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Noto Sans CJK SC"/>
        <family val="2"/>
      </rPr>
      <t xml:space="preserve">月</t>
    </r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</si>
  <si>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Noto Sans CJK SC"/>
        <family val="2"/>
      </rPr>
      <t xml:space="preserve">月</t>
    </r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</si>
  <si>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Noto Sans CJK SC"/>
        <family val="2"/>
      </rPr>
      <t xml:space="preserve">月</t>
    </r>
  </si>
  <si>
    <r>
      <rPr>
        <sz val="10"/>
        <color rgb="FF000000"/>
        <rFont val="Arial"/>
        <family val="0"/>
        <charset val="1"/>
      </rPr>
      <t xml:space="preserve">5</t>
    </r>
    <r>
      <rPr>
        <sz val="10"/>
        <color rgb="FF000000"/>
        <rFont val="Noto Sans CJK SC"/>
        <family val="2"/>
      </rPr>
      <t xml:space="preserve">月</t>
    </r>
  </si>
  <si>
    <r>
      <rPr>
        <sz val="10"/>
        <color rgb="FF000000"/>
        <rFont val="Arial"/>
        <family val="0"/>
        <charset val="1"/>
      </rPr>
      <t xml:space="preserve">6</t>
    </r>
    <r>
      <rPr>
        <sz val="10"/>
        <color rgb="FF000000"/>
        <rFont val="Noto Sans CJK SC"/>
        <family val="2"/>
      </rPr>
      <t xml:space="preserve">月</t>
    </r>
  </si>
  <si>
    <r>
      <rPr>
        <sz val="10"/>
        <color rgb="FF000000"/>
        <rFont val="Arial"/>
        <family val="0"/>
        <charset val="1"/>
      </rPr>
      <t xml:space="preserve">7</t>
    </r>
    <r>
      <rPr>
        <sz val="10"/>
        <color rgb="FF000000"/>
        <rFont val="Noto Sans CJK SC"/>
        <family val="2"/>
      </rPr>
      <t xml:space="preserve">月</t>
    </r>
  </si>
  <si>
    <r>
      <rPr>
        <sz val="10"/>
        <color rgb="FF000000"/>
        <rFont val="Arial"/>
        <family val="0"/>
        <charset val="1"/>
      </rPr>
      <t xml:space="preserve">8</t>
    </r>
    <r>
      <rPr>
        <sz val="10"/>
        <color rgb="FF000000"/>
        <rFont val="Noto Sans CJK SC"/>
        <family val="2"/>
      </rPr>
      <t xml:space="preserve">月</t>
    </r>
  </si>
  <si>
    <r>
      <rPr>
        <sz val="10"/>
        <color rgb="FF000000"/>
        <rFont val="Arial"/>
        <family val="0"/>
        <charset val="1"/>
      </rPr>
      <t xml:space="preserve">9</t>
    </r>
    <r>
      <rPr>
        <sz val="10"/>
        <color rgb="FF000000"/>
        <rFont val="Noto Sans CJK SC"/>
        <family val="2"/>
      </rPr>
      <t xml:space="preserve">月</t>
    </r>
  </si>
  <si>
    <r>
      <rPr>
        <sz val="10"/>
        <color rgb="FF000000"/>
        <rFont val="Arial"/>
        <family val="0"/>
        <charset val="1"/>
      </rPr>
      <t xml:space="preserve">10</t>
    </r>
    <r>
      <rPr>
        <sz val="10"/>
        <color rgb="FF000000"/>
        <rFont val="Noto Sans CJK SC"/>
        <family val="2"/>
      </rPr>
      <t xml:space="preserve">月</t>
    </r>
  </si>
  <si>
    <r>
      <rPr>
        <sz val="10"/>
        <color rgb="FF000000"/>
        <rFont val="Arial"/>
        <family val="0"/>
        <charset val="1"/>
      </rPr>
      <t xml:space="preserve">11</t>
    </r>
    <r>
      <rPr>
        <sz val="10"/>
        <color rgb="FF000000"/>
        <rFont val="Noto Sans CJK SC"/>
        <family val="2"/>
      </rPr>
      <t xml:space="preserve">月</t>
    </r>
  </si>
  <si>
    <r>
      <rPr>
        <sz val="10"/>
        <color rgb="FF000000"/>
        <rFont val="Arial"/>
        <family val="0"/>
        <charset val="1"/>
      </rPr>
      <t xml:space="preserve">12</t>
    </r>
    <r>
      <rPr>
        <sz val="10"/>
        <color rgb="FF000000"/>
        <rFont val="Noto Sans CJK SC"/>
        <family val="2"/>
      </rPr>
      <t xml:space="preserve">月</t>
    </r>
  </si>
  <si>
    <t xml:space="preserve">全年合计</t>
  </si>
  <si>
    <t xml:space="preserve">产品排名与贡献分析</t>
  </si>
  <si>
    <r>
      <rPr>
        <i val="true"/>
        <sz val="10"/>
        <color rgb="FF808080"/>
        <rFont val="Noto Sans CJK SC"/>
        <family val="2"/>
      </rPr>
      <t xml:space="preserve">按销售额排名，累计占比用于 </t>
    </r>
    <r>
      <rPr>
        <i val="true"/>
        <sz val="10"/>
        <color rgb="FF808080"/>
        <rFont val="Arial"/>
        <family val="0"/>
        <charset val="1"/>
      </rPr>
      <t xml:space="preserve">ABC </t>
    </r>
    <r>
      <rPr>
        <i val="true"/>
        <sz val="10"/>
        <color rgb="FF808080"/>
        <rFont val="Noto Sans CJK SC"/>
        <family val="2"/>
      </rPr>
      <t xml:space="preserve">分类（</t>
    </r>
    <r>
      <rPr>
        <i val="true"/>
        <sz val="10"/>
        <color rgb="FF808080"/>
        <rFont val="Arial"/>
        <family val="0"/>
        <charset val="1"/>
      </rPr>
      <t xml:space="preserve">A≤70% / B≤90% / </t>
    </r>
    <r>
      <rPr>
        <i val="true"/>
        <sz val="10"/>
        <color rgb="FF808080"/>
        <rFont val="Noto Sans CJK SC"/>
        <family val="2"/>
      </rPr>
      <t xml:space="preserve">其余为</t>
    </r>
    <r>
      <rPr>
        <i val="true"/>
        <sz val="10"/>
        <color rgb="FF808080"/>
        <rFont val="Arial"/>
        <family val="0"/>
        <charset val="1"/>
      </rPr>
      <t xml:space="preserve">C</t>
    </r>
    <r>
      <rPr>
        <i val="true"/>
        <sz val="10"/>
        <color rgb="FF808080"/>
        <rFont val="Noto Sans CJK SC"/>
        <family val="2"/>
      </rPr>
      <t xml:space="preserve">）</t>
    </r>
  </si>
  <si>
    <t xml:space="preserve">排名</t>
  </si>
  <si>
    <t xml:space="preserve">销售额占比</t>
  </si>
  <si>
    <t xml:space="preserve">累计占比</t>
  </si>
  <si>
    <t xml:space="preserve">ABC</t>
  </si>
  <si>
    <r>
      <rPr>
        <sz val="10"/>
        <color rgb="FF000000"/>
        <rFont val="Noto Sans CJK SC"/>
        <family val="2"/>
      </rPr>
      <t xml:space="preserve">能耗分析云</t>
    </r>
    <r>
      <rPr>
        <sz val="10"/>
        <color rgb="FF000000"/>
        <rFont val="Arial"/>
        <family val="0"/>
        <charset val="1"/>
      </rPr>
      <t xml:space="preserve">-</t>
    </r>
    <r>
      <rPr>
        <sz val="10"/>
        <color rgb="FF000000"/>
        <rFont val="Noto Sans CJK SC"/>
        <family val="2"/>
      </rPr>
      <t xml:space="preserve">标准版</t>
    </r>
  </si>
  <si>
    <r>
      <rPr>
        <sz val="10"/>
        <color rgb="FF000000"/>
        <rFont val="Noto Sans CJK SC"/>
        <family val="2"/>
      </rPr>
      <t xml:space="preserve">能耗分析云</t>
    </r>
    <r>
      <rPr>
        <sz val="10"/>
        <color rgb="FF000000"/>
        <rFont val="Arial"/>
        <family val="0"/>
        <charset val="1"/>
      </rPr>
      <t xml:space="preserve">-</t>
    </r>
    <r>
      <rPr>
        <sz val="10"/>
        <color rgb="FF000000"/>
        <rFont val="Noto Sans CJK SC"/>
        <family val="2"/>
      </rPr>
      <t xml:space="preserve">企业版</t>
    </r>
  </si>
  <si>
    <t xml:space="preserve">区域业绩分析</t>
  </si>
  <si>
    <t xml:space="preserve">按区域自动汇总销售额、毛利与订单数</t>
  </si>
  <si>
    <t xml:space="preserve">销售分析仪表盘</t>
  </si>
  <si>
    <r>
      <rPr>
        <i val="true"/>
        <sz val="10"/>
        <color rgb="FFFFFFFF"/>
        <rFont val="Noto Sans CJK SC"/>
        <family val="2"/>
      </rPr>
      <t xml:space="preserve">关键指标随明细数据自动刷新 </t>
    </r>
    <r>
      <rPr>
        <i val="true"/>
        <sz val="10"/>
        <color rgb="FFFFFFFF"/>
        <rFont val="Arial"/>
        <family val="0"/>
        <charset val="1"/>
      </rPr>
      <t xml:space="preserve">· </t>
    </r>
    <r>
      <rPr>
        <i val="true"/>
        <sz val="10"/>
        <color rgb="FFFFFFFF"/>
        <rFont val="Noto Sans CJK SC"/>
        <family val="2"/>
      </rPr>
      <t xml:space="preserve">示例数据仅供演示</t>
    </r>
  </si>
  <si>
    <r>
      <rPr>
        <b val="true"/>
        <sz val="10"/>
        <color rgb="FFFFFFFF"/>
        <rFont val="Noto Sans CJK SC"/>
        <family val="2"/>
      </rPr>
      <t xml:space="preserve">全年销售额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元</t>
    </r>
    <r>
      <rPr>
        <b val="true"/>
        <sz val="10"/>
        <color rgb="FFFFFFFF"/>
        <rFont val="Arial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</si>
  <si>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全年毛利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元</t>
    </r>
    <r>
      <rPr>
        <b val="true"/>
        <sz val="10"/>
        <color rgb="FFFFFFFF"/>
        <rFont val="Arial"/>
        <family val="0"/>
        <charset val="1"/>
      </rPr>
      <t xml:space="preserve">)</t>
    </r>
  </si>
  <si>
    <t xml:space="preserve">平均毛利率</t>
  </si>
  <si>
    <t xml:space="preserve">订单总数</t>
  </si>
  <si>
    <r>
      <rPr>
        <b val="true"/>
        <sz val="10"/>
        <color rgb="FFFFFFFF"/>
        <rFont val="Noto Sans CJK SC"/>
        <family val="2"/>
      </rPr>
      <t xml:space="preserve">月均销售额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元</t>
    </r>
    <r>
      <rPr>
        <b val="true"/>
        <sz val="10"/>
        <color rgb="FFFFFFFF"/>
        <rFont val="Arial"/>
        <family val="0"/>
        <charset val="1"/>
      </rPr>
      <t xml:space="preserve">)</t>
    </r>
  </si>
  <si>
    <t xml:space="preserve">数据校验与勾稽</t>
  </si>
  <si>
    <t xml:space="preserve">自动比对各表合计，确保报表可审计；结果应全部为「通过」</t>
  </si>
  <si>
    <r>
      <rPr>
        <sz val="10"/>
        <color rgb="FF000000"/>
        <rFont val="Noto Sans CJK SC"/>
        <family val="2"/>
      </rPr>
      <t xml:space="preserve">明细销售额合计 </t>
    </r>
    <r>
      <rPr>
        <sz val="10"/>
        <color rgb="FF000000"/>
        <rFont val="Arial"/>
        <family val="0"/>
        <charset val="1"/>
      </rPr>
      <t xml:space="preserve">= </t>
    </r>
    <r>
      <rPr>
        <sz val="10"/>
        <color rgb="FF000000"/>
        <rFont val="Noto Sans CJK SC"/>
        <family val="2"/>
      </rPr>
      <t xml:space="preserve">月度汇总合计</t>
    </r>
  </si>
  <si>
    <r>
      <rPr>
        <sz val="10"/>
        <color rgb="FF000000"/>
        <rFont val="Noto Sans CJK SC"/>
        <family val="2"/>
      </rPr>
      <t xml:space="preserve">明细毛利合计 </t>
    </r>
    <r>
      <rPr>
        <sz val="10"/>
        <color rgb="FF000000"/>
        <rFont val="Arial"/>
        <family val="0"/>
        <charset val="1"/>
      </rPr>
      <t xml:space="preserve">= </t>
    </r>
    <r>
      <rPr>
        <sz val="10"/>
        <color rgb="FF000000"/>
        <rFont val="Noto Sans CJK SC"/>
        <family val="2"/>
      </rPr>
      <t xml:space="preserve">月度汇总合计</t>
    </r>
  </si>
  <si>
    <r>
      <rPr>
        <sz val="10"/>
        <color rgb="FF000000"/>
        <rFont val="Noto Sans CJK SC"/>
        <family val="2"/>
      </rPr>
      <t xml:space="preserve">月度汇总合计 </t>
    </r>
    <r>
      <rPr>
        <sz val="10"/>
        <color rgb="FF000000"/>
        <rFont val="Arial"/>
        <family val="0"/>
        <charset val="1"/>
      </rPr>
      <t xml:space="preserve">= </t>
    </r>
    <r>
      <rPr>
        <sz val="10"/>
        <color rgb="FF000000"/>
        <rFont val="Noto Sans CJK SC"/>
        <family val="2"/>
      </rPr>
      <t xml:space="preserve">产品排名合计</t>
    </r>
  </si>
  <si>
    <r>
      <rPr>
        <sz val="10"/>
        <color rgb="FF000000"/>
        <rFont val="Noto Sans CJK SC"/>
        <family val="2"/>
      </rPr>
      <t xml:space="preserve">月度汇总合计 </t>
    </r>
    <r>
      <rPr>
        <sz val="10"/>
        <color rgb="FF000000"/>
        <rFont val="Arial"/>
        <family val="0"/>
        <charset val="1"/>
      </rPr>
      <t xml:space="preserve">= </t>
    </r>
    <r>
      <rPr>
        <sz val="10"/>
        <color rgb="FF000000"/>
        <rFont val="Noto Sans CJK SC"/>
        <family val="2"/>
      </rPr>
      <t xml:space="preserve">区域分析合计</t>
    </r>
  </si>
  <si>
    <r>
      <rPr>
        <sz val="10"/>
        <color rgb="FF000000"/>
        <rFont val="Noto Sans CJK SC"/>
        <family val="2"/>
      </rPr>
      <t xml:space="preserve">订单数：明细 </t>
    </r>
    <r>
      <rPr>
        <sz val="10"/>
        <color rgb="FF000000"/>
        <rFont val="Arial"/>
        <family val="0"/>
        <charset val="1"/>
      </rPr>
      <t xml:space="preserve">= </t>
    </r>
    <r>
      <rPr>
        <sz val="10"/>
        <color rgb="FF000000"/>
        <rFont val="Noto Sans CJK SC"/>
        <family val="2"/>
      </rPr>
      <t xml:space="preserve">区域分析合计</t>
    </r>
  </si>
  <si>
    <r>
      <rPr>
        <sz val="10"/>
        <color rgb="FF000000"/>
        <rFont val="Noto Sans CJK SC"/>
        <family val="2"/>
      </rPr>
      <t xml:space="preserve">毛利率异常行数（</t>
    </r>
    <r>
      <rPr>
        <sz val="10"/>
        <color rgb="FF000000"/>
        <rFont val="Arial"/>
        <family val="0"/>
        <charset val="1"/>
      </rPr>
      <t xml:space="preserve">&lt;0 </t>
    </r>
    <r>
      <rPr>
        <sz val="10"/>
        <color rgb="FF000000"/>
        <rFont val="Noto Sans CJK SC"/>
        <family val="2"/>
      </rPr>
      <t xml:space="preserve">或 </t>
    </r>
    <r>
      <rPr>
        <sz val="10"/>
        <color rgb="FF000000"/>
        <rFont val="Arial"/>
        <family val="0"/>
        <charset val="1"/>
      </rPr>
      <t xml:space="preserve">&gt;100%</t>
    </r>
    <r>
      <rPr>
        <sz val="10"/>
        <color rgb="FF000000"/>
        <rFont val="Noto Sans CJK SC"/>
        <family val="2"/>
      </rPr>
      <t xml:space="preserve">）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</si>
</sst>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#,##0"/>
    <numFmt numFmtId="167" formatCode="0.0%"/>
    <numFmt numFmtId="168" formatCode="yyyy\-mm\-dd"/>
    <numFmt numFmtId="169" formatCode="0.0%;\(0.0%\)"/>
  </numFmts>
  <fonts count="4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b val="true"/>
      <sz val="18"/>
      <color rgb="FFFFFFFF"/>
      <name val="Noto Sans CJK SC"/>
      <family val="2"/>
    </font>
    <font>
      <i val="true"/>
      <sz val="11"/>
      <color rgb="FFFFFFFF"/>
      <name val="Noto Sans CJK SC"/>
      <family val="2"/>
    </font>
    <font>
      <i val="true"/>
      <sz val="11"/>
      <color rgb="FFFFFFFF"/>
      <name val="Arial"/>
      <family val="0"/>
      <charset val="1"/>
    </font>
    <font>
      <b val="true"/>
      <sz val="11"/>
      <color rgb="FF1F3864"/>
      <name val="Noto Sans CJK SC"/>
      <family val="2"/>
    </font>
    <font>
      <sz val="11"/>
      <color rgb="FF333333"/>
      <name val="Noto Sans CJK SC"/>
      <family val="2"/>
    </font>
    <font>
      <sz val="11"/>
      <color rgb="FF333333"/>
      <name val="Arial"/>
      <family val="0"/>
      <charset val="1"/>
    </font>
    <font>
      <b val="true"/>
      <sz val="12"/>
      <color rgb="FF1F3864"/>
      <name val="Noto Sans CJK SC"/>
      <family val="2"/>
    </font>
    <font>
      <b val="true"/>
      <sz val="11"/>
      <color rgb="FFFFFFFF"/>
      <name val="Noto Sans CJK SC"/>
      <family val="2"/>
    </font>
    <font>
      <b val="true"/>
      <sz val="11"/>
      <color rgb="FF2E5496"/>
      <name val="Noto Sans CJK SC"/>
      <family val="2"/>
    </font>
    <font>
      <sz val="10"/>
      <color rgb="FF333333"/>
      <name val="Noto Sans CJK SC"/>
      <family val="2"/>
    </font>
    <font>
      <sz val="10"/>
      <color rgb="FF333333"/>
      <name val="Arial"/>
      <family val="0"/>
      <charset val="1"/>
    </font>
    <font>
      <i val="true"/>
      <sz val="10"/>
      <color rgb="FFC55A11"/>
      <name val="Noto Sans CJK SC"/>
      <family val="2"/>
    </font>
    <font>
      <i val="true"/>
      <sz val="10"/>
      <color rgb="FF808080"/>
      <name val="Noto Sans CJK SC"/>
      <family val="2"/>
    </font>
    <font>
      <b val="true"/>
      <sz val="11"/>
      <color rgb="FF0000FF"/>
      <name val="Arial"/>
      <family val="0"/>
      <charset val="1"/>
    </font>
    <font>
      <b val="true"/>
      <sz val="11"/>
      <color rgb="FF0000FF"/>
      <name val="Noto Sans CJK SC"/>
      <family val="2"/>
    </font>
    <font>
      <b val="true"/>
      <sz val="11"/>
      <color rgb="FF1F386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00"/>
      <name val="Noto Sans CJK SC"/>
      <family val="2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00"/>
      <name val="Noto Sans CJK SC"/>
      <family val="2"/>
    </font>
    <font>
      <b val="true"/>
      <sz val="18"/>
      <color rgb="FF000000"/>
      <name val="Noto Sans CJK SC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  <font>
      <b val="true"/>
      <sz val="10"/>
      <color rgb="FF000000"/>
      <name val="Calibri"/>
      <family val="2"/>
    </font>
    <font>
      <i val="true"/>
      <sz val="10"/>
      <color rgb="FF808080"/>
      <name val="Arial"/>
      <family val="0"/>
      <charset val="1"/>
    </font>
    <font>
      <i val="true"/>
      <sz val="10"/>
      <color rgb="FFFFFFFF"/>
      <name val="Noto Sans CJK SC"/>
      <family val="2"/>
    </font>
    <font>
      <i val="true"/>
      <sz val="10"/>
      <color rgb="FFFFFFFF"/>
      <name val="Arial"/>
      <family val="0"/>
      <charset val="1"/>
    </font>
    <font>
      <b val="true"/>
      <sz val="10"/>
      <color rgb="FFFFFFFF"/>
      <name val="Noto Sans CJK SC"/>
      <family val="2"/>
    </font>
    <font>
      <b val="true"/>
      <sz val="10"/>
      <color rgb="FFFFFFFF"/>
      <name val="Arial"/>
      <family val="0"/>
      <charset val="1"/>
    </font>
    <font>
      <b val="true"/>
      <sz val="16"/>
      <color rgb="FF1F3864"/>
      <name val="Arial"/>
      <family val="0"/>
      <charset val="1"/>
    </font>
    <font>
      <b val="true"/>
      <sz val="16"/>
      <color rgb="FF548235"/>
      <name val="Arial"/>
      <family val="0"/>
      <charset val="1"/>
    </font>
    <font>
      <b val="true"/>
      <sz val="16"/>
      <color rgb="FFC55A11"/>
      <name val="Arial"/>
      <family val="0"/>
      <charset val="1"/>
    </font>
    <font>
      <b val="true"/>
      <sz val="16"/>
      <color rgb="FF2E5496"/>
      <name val="Arial"/>
      <family val="0"/>
      <charset val="1"/>
    </font>
    <font>
      <b val="true"/>
      <sz val="10"/>
      <name val="Noto Sans CJK SC"/>
      <family val="2"/>
    </font>
    <font>
      <b val="true"/>
      <sz val="12"/>
      <color rgb="FF548235"/>
      <name val="Noto Sans CJK SC"/>
      <family val="2"/>
    </font>
  </fonts>
  <fills count="12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5496"/>
        <bgColor rgb="FF1F3864"/>
      </patternFill>
    </fill>
    <fill>
      <patternFill patternType="solid">
        <fgColor rgb="FFFFF2CC"/>
        <bgColor rgb="FFF2F2F2"/>
      </patternFill>
    </fill>
    <fill>
      <patternFill patternType="solid">
        <fgColor rgb="FFEFEFEF"/>
        <bgColor rgb="FFF2F2F2"/>
      </patternFill>
    </fill>
    <fill>
      <patternFill patternType="solid">
        <fgColor rgb="FFF2F6FC"/>
        <bgColor rgb="FFF2F2F2"/>
      </patternFill>
    </fill>
    <fill>
      <patternFill patternType="solid">
        <fgColor rgb="FFD6E0F0"/>
        <bgColor rgb="FFD9D9D9"/>
      </patternFill>
    </fill>
    <fill>
      <patternFill patternType="solid">
        <fgColor rgb="FF548235"/>
        <bgColor rgb="FF339966"/>
      </patternFill>
    </fill>
    <fill>
      <patternFill patternType="solid">
        <fgColor rgb="FFC55A11"/>
        <bgColor rgb="FFC0504D"/>
      </patternFill>
    </fill>
    <fill>
      <patternFill patternType="solid">
        <fgColor rgb="FFF2F2F2"/>
        <bgColor rgb="FFEFEFEF"/>
      </patternFill>
    </fill>
    <fill>
      <patternFill patternType="solid">
        <fgColor rgb="FFE2EFDA"/>
        <bgColor rgb="FFEFEFE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medium">
        <color rgb="FF1F3864"/>
      </top>
      <bottom style="medium">
        <color rgb="FF1F386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6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3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7" borderId="2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6" fontId="20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0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0" fillId="7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0" fillId="7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7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0" fillId="7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3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33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8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9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5" fillId="1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6" fillId="1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37" fillId="1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8" fillId="1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36" fillId="1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3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0" fillId="11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548235"/>
      <rgbColor rgb="FF800080"/>
      <rgbColor rgb="FF008080"/>
      <rgbColor rgb="FFBFBFBF"/>
      <rgbColor rgb="FF808080"/>
      <rgbColor rgb="FF9999FF"/>
      <rgbColor rgb="FFAA433F"/>
      <rgbColor rgb="FFFFF2CC"/>
      <rgbColor rgb="FFE2EFDA"/>
      <rgbColor rgb="FF660066"/>
      <rgbColor rgb="FFCC8F8E"/>
      <rgbColor rgb="FF0066CC"/>
      <rgbColor rgb="FFD6E0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6FC"/>
      <rgbColor rgb="FFC6EFCE"/>
      <rgbColor rgb="FFF2F2F2"/>
      <rgbColor rgb="FFD9D9D9"/>
      <rgbColor rgb="FFEFEFEF"/>
      <rgbColor rgb="FFF9F9F9"/>
      <rgbColor rgb="FFFFC7CE"/>
      <rgbColor rgb="FF4F81BD"/>
      <rgbColor rgb="FF4BACC6"/>
      <rgbColor rgb="FF9BBB59"/>
      <rgbColor rgb="FFFFCC00"/>
      <rgbColor rgb="FFF79646"/>
      <rgbColor rgb="FFC55A11"/>
      <rgbColor rgb="FF8064A2"/>
      <rgbColor rgb="FF878787"/>
      <rgbColor rgb="FF1F3864"/>
      <rgbColor rgb="FF339966"/>
      <rgbColor rgb="FF003300"/>
      <rgbColor rgb="FF333300"/>
      <rgbColor rgb="FFC0504D"/>
      <rgbColor rgb="FFBE4B48"/>
      <rgbColor rgb="FF2E549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月度销售额与毛利趋势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月度汇总!C5</c:f>
              <c:strCache>
                <c:ptCount val="1"/>
                <c:pt idx="0">
                  <c:v>销售额(元)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月度汇总!$A$6:$A$17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月度汇总!$C$6:$C$17</c:f>
              <c:numCache>
                <c:formatCode>General</c:formatCode>
                <c:ptCount val="12"/>
                <c:pt idx="0">
                  <c:v>159216</c:v>
                </c:pt>
                <c:pt idx="1">
                  <c:v>206014</c:v>
                </c:pt>
                <c:pt idx="2">
                  <c:v>302577</c:v>
                </c:pt>
                <c:pt idx="3">
                  <c:v>181504</c:v>
                </c:pt>
                <c:pt idx="4">
                  <c:v>197915</c:v>
                </c:pt>
                <c:pt idx="5">
                  <c:v>177467</c:v>
                </c:pt>
                <c:pt idx="6">
                  <c:v>231679</c:v>
                </c:pt>
                <c:pt idx="7">
                  <c:v>169381</c:v>
                </c:pt>
                <c:pt idx="8">
                  <c:v>334747</c:v>
                </c:pt>
                <c:pt idx="9">
                  <c:v>197257</c:v>
                </c:pt>
                <c:pt idx="10">
                  <c:v>403362</c:v>
                </c:pt>
                <c:pt idx="11">
                  <c:v>404229</c:v>
                </c:pt>
              </c:numCache>
            </c:numRef>
          </c:val>
        </c:ser>
        <c:ser>
          <c:idx val="1"/>
          <c:order val="1"/>
          <c:tx>
            <c:strRef>
              <c:f>月度汇总!D5</c:f>
              <c:strCache>
                <c:ptCount val="1"/>
                <c:pt idx="0">
                  <c:v>成本(元)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月度汇总!$A$6:$A$17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月度汇总!$D$6:$D$17</c:f>
              <c:numCache>
                <c:formatCode>General</c:formatCode>
                <c:ptCount val="12"/>
                <c:pt idx="0">
                  <c:v>82095</c:v>
                </c:pt>
                <c:pt idx="1">
                  <c:v>123102</c:v>
                </c:pt>
                <c:pt idx="2">
                  <c:v>115842</c:v>
                </c:pt>
                <c:pt idx="3">
                  <c:v>81175</c:v>
                </c:pt>
                <c:pt idx="4">
                  <c:v>88681</c:v>
                </c:pt>
                <c:pt idx="5">
                  <c:v>85753</c:v>
                </c:pt>
                <c:pt idx="6">
                  <c:v>110700</c:v>
                </c:pt>
                <c:pt idx="7">
                  <c:v>95720</c:v>
                </c:pt>
                <c:pt idx="8">
                  <c:v>205492</c:v>
                </c:pt>
                <c:pt idx="9">
                  <c:v>114864</c:v>
                </c:pt>
                <c:pt idx="10">
                  <c:v>214689</c:v>
                </c:pt>
                <c:pt idx="11">
                  <c:v>217183</c:v>
                </c:pt>
              </c:numCache>
            </c:numRef>
          </c:val>
        </c:ser>
        <c:ser>
          <c:idx val="2"/>
          <c:order val="2"/>
          <c:tx>
            <c:strRef>
              <c:f>月度汇总!E5</c:f>
              <c:strCache>
                <c:ptCount val="1"/>
                <c:pt idx="0">
                  <c:v>毛利(元)</c:v>
                </c:pt>
              </c:strCache>
            </c:strRef>
          </c:tx>
          <c:spPr>
            <a:solidFill>
              <a:srgbClr val="9bbb59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月度汇总!$A$6:$A$17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月度汇总!$E$6:$E$17</c:f>
              <c:numCache>
                <c:formatCode>General</c:formatCode>
                <c:ptCount val="12"/>
                <c:pt idx="0">
                  <c:v>77121</c:v>
                </c:pt>
                <c:pt idx="1">
                  <c:v>82912</c:v>
                </c:pt>
                <c:pt idx="2">
                  <c:v>186735</c:v>
                </c:pt>
                <c:pt idx="3">
                  <c:v>100329</c:v>
                </c:pt>
                <c:pt idx="4">
                  <c:v>109234</c:v>
                </c:pt>
                <c:pt idx="5">
                  <c:v>91714</c:v>
                </c:pt>
                <c:pt idx="6">
                  <c:v>120979</c:v>
                </c:pt>
                <c:pt idx="7">
                  <c:v>73661</c:v>
                </c:pt>
                <c:pt idx="8">
                  <c:v>129255</c:v>
                </c:pt>
                <c:pt idx="9">
                  <c:v>82393</c:v>
                </c:pt>
                <c:pt idx="10">
                  <c:v>188673</c:v>
                </c:pt>
                <c:pt idx="11">
                  <c:v>187046</c:v>
                </c:pt>
              </c:numCache>
            </c:numRef>
          </c:val>
        </c:ser>
        <c:gapWidth val="150"/>
        <c:overlap val="0"/>
        <c:axId val="53622224"/>
        <c:axId val="50897190"/>
      </c:barChart>
      <c:catAx>
        <c:axId val="5362222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月份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0897190"/>
        <c:crosses val="autoZero"/>
        <c:auto val="1"/>
        <c:lblAlgn val="ctr"/>
        <c:lblOffset val="100"/>
        <c:noMultiLvlLbl val="0"/>
      </c:catAx>
      <c:valAx>
        <c:axId val="5089719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金额(元)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362222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月度毛利率与目标达成率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月度汇总!F5</c:f>
              <c:strCache>
                <c:ptCount val="1"/>
                <c:pt idx="0">
                  <c:v>毛利率</c:v>
                </c:pt>
              </c:strCache>
            </c:strRef>
          </c:tx>
          <c:spPr>
            <a:solidFill>
              <a:srgbClr val="aa433f"/>
            </a:solidFill>
            <a:ln w="47520">
              <a:solidFill>
                <a:srgbClr val="aa433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月度汇总!$A$6:$A$17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月度汇总!$F$6:$F$17</c:f>
              <c:numCache>
                <c:formatCode>General</c:formatCode>
                <c:ptCount val="12"/>
                <c:pt idx="0">
                  <c:v>0.484379710581851</c:v>
                </c:pt>
                <c:pt idx="1">
                  <c:v>0.402458085372839</c:v>
                </c:pt>
                <c:pt idx="2">
                  <c:v>0.617148692729454</c:v>
                </c:pt>
                <c:pt idx="3">
                  <c:v>0.552764677362482</c:v>
                </c:pt>
                <c:pt idx="4">
                  <c:v>0.551923805674153</c:v>
                </c:pt>
                <c:pt idx="5">
                  <c:v>0.51679467168544</c:v>
                </c:pt>
                <c:pt idx="6">
                  <c:v>0.522183711083007</c:v>
                </c:pt>
                <c:pt idx="7">
                  <c:v>0.434883487522213</c:v>
                </c:pt>
                <c:pt idx="8">
                  <c:v>0.386127433554296</c:v>
                </c:pt>
                <c:pt idx="9">
                  <c:v>0.417693668665751</c:v>
                </c:pt>
                <c:pt idx="10">
                  <c:v>0.46775105240454</c:v>
                </c:pt>
                <c:pt idx="11">
                  <c:v>0.46272286253584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月度汇总!H5</c:f>
              <c:strCache>
                <c:ptCount val="1"/>
                <c:pt idx="0">
                  <c:v>目标达成率</c:v>
                </c:pt>
              </c:strCache>
            </c:strRef>
          </c:tx>
          <c:spPr>
            <a:solidFill>
              <a:srgbClr val="cc8f8e"/>
            </a:solidFill>
            <a:ln w="47520">
              <a:solidFill>
                <a:srgbClr val="cc8f8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月度汇总!$A$6:$A$17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月度汇总!$H$6:$H$17</c:f>
              <c:numCache>
                <c:formatCode>General</c:formatCode>
                <c:ptCount val="12"/>
                <c:pt idx="0">
                  <c:v>0.176906666666667</c:v>
                </c:pt>
                <c:pt idx="1">
                  <c:v>0.228904444444444</c:v>
                </c:pt>
                <c:pt idx="2">
                  <c:v>0.336196666666667</c:v>
                </c:pt>
                <c:pt idx="3">
                  <c:v>0.201671111111111</c:v>
                </c:pt>
                <c:pt idx="4">
                  <c:v>0.219905555555556</c:v>
                </c:pt>
                <c:pt idx="5">
                  <c:v>0.197185555555556</c:v>
                </c:pt>
                <c:pt idx="6">
                  <c:v>0.257421111111111</c:v>
                </c:pt>
                <c:pt idx="7">
                  <c:v>0.188201111111111</c:v>
                </c:pt>
                <c:pt idx="8">
                  <c:v>0.371941111111111</c:v>
                </c:pt>
                <c:pt idx="9">
                  <c:v>0.219174444444444</c:v>
                </c:pt>
                <c:pt idx="10">
                  <c:v>0.44818</c:v>
                </c:pt>
                <c:pt idx="11">
                  <c:v>0.449143333333333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17479512"/>
        <c:axId val="61513562"/>
      </c:lineChart>
      <c:catAx>
        <c:axId val="17479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1513562"/>
        <c:crosses val="autoZero"/>
        <c:auto val="1"/>
        <c:lblAlgn val="ctr"/>
        <c:lblOffset val="100"/>
        <c:noMultiLvlLbl val="0"/>
      </c:catAx>
      <c:valAx>
        <c:axId val="6151356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百分比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747951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产品销售额排名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产品排名!D5</c:f>
              <c:strCache>
                <c:ptCount val="1"/>
                <c:pt idx="0">
                  <c:v>销售额(元)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产品排名!$C$6:$C$11</c:f>
              <c:strCache>
                <c:ptCount val="6"/>
                <c:pt idx="0">
                  <c:v>智控温控器</c:v>
                </c:pt>
                <c:pt idx="1">
                  <c:v>无线传感网关</c:v>
                </c:pt>
                <c:pt idx="2">
                  <c:v>能耗分析云-标准版</c:v>
                </c:pt>
                <c:pt idx="3">
                  <c:v>能耗分析云-企业版</c:v>
                </c:pt>
                <c:pt idx="4">
                  <c:v>现场部署服务</c:v>
                </c:pt>
                <c:pt idx="5">
                  <c:v>运维托管年包</c:v>
                </c:pt>
              </c:strCache>
            </c:strRef>
          </c:cat>
          <c:val>
            <c:numRef>
              <c:f>产品排名!$D$6:$D$11</c:f>
              <c:numCache>
                <c:formatCode>General</c:formatCode>
                <c:ptCount val="6"/>
                <c:pt idx="0">
                  <c:v>177110</c:v>
                </c:pt>
                <c:pt idx="1">
                  <c:v>320602</c:v>
                </c:pt>
                <c:pt idx="2">
                  <c:v>434817</c:v>
                </c:pt>
                <c:pt idx="3">
                  <c:v>447943</c:v>
                </c:pt>
                <c:pt idx="4">
                  <c:v>455735</c:v>
                </c:pt>
                <c:pt idx="5">
                  <c:v>1129141</c:v>
                </c:pt>
              </c:numCache>
            </c:numRef>
          </c:val>
        </c:ser>
        <c:gapWidth val="150"/>
        <c:overlap val="0"/>
        <c:axId val="88610479"/>
        <c:axId val="73849946"/>
      </c:barChart>
      <c:catAx>
        <c:axId val="88610479"/>
        <c:scaling>
          <c:orientation val="minMax"/>
        </c:scaling>
        <c:delete val="0"/>
        <c:axPos val="b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销售额(元)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3849946"/>
        <c:crosses val="autoZero"/>
        <c:auto val="1"/>
        <c:lblAlgn val="ctr"/>
        <c:lblOffset val="100"/>
        <c:noMultiLvlLbl val="0"/>
      </c:catAx>
      <c:valAx>
        <c:axId val="7384994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产品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861047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产品销售额结构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产品排名!D5</c:f>
              <c:strCache>
                <c:ptCount val="1"/>
                <c:pt idx="0">
                  <c:v>销售额(元)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bacc6"/>
              </a:solidFill>
              <a:ln w="0">
                <a:noFill/>
              </a:ln>
            </c:spPr>
          </c:dPt>
          <c:dPt>
            <c:idx val="5"/>
            <c:spPr>
              <a:solidFill>
                <a:srgbClr val="f79646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产品排名!$C$6:$C$11</c:f>
              <c:strCache>
                <c:ptCount val="6"/>
                <c:pt idx="0">
                  <c:v>智控温控器</c:v>
                </c:pt>
                <c:pt idx="1">
                  <c:v>无线传感网关</c:v>
                </c:pt>
                <c:pt idx="2">
                  <c:v>能耗分析云-标准版</c:v>
                </c:pt>
                <c:pt idx="3">
                  <c:v>能耗分析云-企业版</c:v>
                </c:pt>
                <c:pt idx="4">
                  <c:v>现场部署服务</c:v>
                </c:pt>
                <c:pt idx="5">
                  <c:v>运维托管年包</c:v>
                </c:pt>
              </c:strCache>
            </c:strRef>
          </c:cat>
          <c:val>
            <c:numRef>
              <c:f>产品排名!$D$6:$D$11</c:f>
              <c:numCache>
                <c:formatCode>General</c:formatCode>
                <c:ptCount val="6"/>
                <c:pt idx="0">
                  <c:v>177110</c:v>
                </c:pt>
                <c:pt idx="1">
                  <c:v>320602</c:v>
                </c:pt>
                <c:pt idx="2">
                  <c:v>434817</c:v>
                </c:pt>
                <c:pt idx="3">
                  <c:v>447943</c:v>
                </c:pt>
                <c:pt idx="4">
                  <c:v>455735</c:v>
                </c:pt>
                <c:pt idx="5">
                  <c:v>1129141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区域销售额占比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区域分析!C5</c:f>
              <c:strCache>
                <c:ptCount val="1"/>
                <c:pt idx="0">
                  <c:v>销售额(元)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区域分析!$A$6:$A$9</c:f>
              <c:strCache>
                <c:ptCount val="4"/>
                <c:pt idx="0">
                  <c:v>华东</c:v>
                </c:pt>
                <c:pt idx="1">
                  <c:v>华北</c:v>
                </c:pt>
                <c:pt idx="2">
                  <c:v>华南</c:v>
                </c:pt>
                <c:pt idx="3">
                  <c:v>西部</c:v>
                </c:pt>
              </c:strCache>
            </c:strRef>
          </c:cat>
          <c:val>
            <c:numRef>
              <c:f>区域分析!$C$6:$C$9</c:f>
              <c:numCache>
                <c:formatCode>General</c:formatCode>
                <c:ptCount val="4"/>
                <c:pt idx="0">
                  <c:v>491180</c:v>
                </c:pt>
                <c:pt idx="1">
                  <c:v>847250</c:v>
                </c:pt>
                <c:pt idx="2">
                  <c:v>881839</c:v>
                </c:pt>
                <c:pt idx="3">
                  <c:v>745079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月度销售额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月度汇总!C5</c:f>
              <c:strCache>
                <c:ptCount val="1"/>
                <c:pt idx="0">
                  <c:v>销售额(元)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月度汇总!$A$6:$A$17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月度汇总!$C$6:$C$17</c:f>
              <c:numCache>
                <c:formatCode>General</c:formatCode>
                <c:ptCount val="12"/>
                <c:pt idx="0">
                  <c:v>159216</c:v>
                </c:pt>
                <c:pt idx="1">
                  <c:v>206014</c:v>
                </c:pt>
                <c:pt idx="2">
                  <c:v>302577</c:v>
                </c:pt>
                <c:pt idx="3">
                  <c:v>181504</c:v>
                </c:pt>
                <c:pt idx="4">
                  <c:v>197915</c:v>
                </c:pt>
                <c:pt idx="5">
                  <c:v>177467</c:v>
                </c:pt>
                <c:pt idx="6">
                  <c:v>231679</c:v>
                </c:pt>
                <c:pt idx="7">
                  <c:v>169381</c:v>
                </c:pt>
                <c:pt idx="8">
                  <c:v>334747</c:v>
                </c:pt>
                <c:pt idx="9">
                  <c:v>197257</c:v>
                </c:pt>
                <c:pt idx="10">
                  <c:v>403362</c:v>
                </c:pt>
                <c:pt idx="11">
                  <c:v>404229</c:v>
                </c:pt>
              </c:numCache>
            </c:numRef>
          </c:val>
        </c:ser>
        <c:gapWidth val="150"/>
        <c:overlap val="0"/>
        <c:axId val="22235721"/>
        <c:axId val="47911749"/>
      </c:barChart>
      <c:catAx>
        <c:axId val="2223572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911749"/>
        <c:crosses val="autoZero"/>
        <c:auto val="1"/>
        <c:lblAlgn val="ctr"/>
        <c:lblOffset val="100"/>
        <c:noMultiLvlLbl val="0"/>
      </c:catAx>
      <c:valAx>
        <c:axId val="4791174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223572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月度毛利率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月度汇总!F5</c:f>
              <c:strCache>
                <c:ptCount val="1"/>
                <c:pt idx="0">
                  <c:v>毛利率</c:v>
                </c:pt>
              </c:strCache>
            </c:strRef>
          </c:tx>
          <c:spPr>
            <a:solidFill>
              <a:srgbClr val="be4b48"/>
            </a:solidFill>
            <a:ln w="4752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月度汇总!$A$6:$A$17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月度汇总!$F$6:$F$17</c:f>
              <c:numCache>
                <c:formatCode>General</c:formatCode>
                <c:ptCount val="12"/>
                <c:pt idx="0">
                  <c:v>0.484379710581851</c:v>
                </c:pt>
                <c:pt idx="1">
                  <c:v>0.402458085372839</c:v>
                </c:pt>
                <c:pt idx="2">
                  <c:v>0.617148692729454</c:v>
                </c:pt>
                <c:pt idx="3">
                  <c:v>0.552764677362482</c:v>
                </c:pt>
                <c:pt idx="4">
                  <c:v>0.551923805674153</c:v>
                </c:pt>
                <c:pt idx="5">
                  <c:v>0.51679467168544</c:v>
                </c:pt>
                <c:pt idx="6">
                  <c:v>0.522183711083007</c:v>
                </c:pt>
                <c:pt idx="7">
                  <c:v>0.434883487522213</c:v>
                </c:pt>
                <c:pt idx="8">
                  <c:v>0.386127433554296</c:v>
                </c:pt>
                <c:pt idx="9">
                  <c:v>0.417693668665751</c:v>
                </c:pt>
                <c:pt idx="10">
                  <c:v>0.46775105240454</c:v>
                </c:pt>
                <c:pt idx="11">
                  <c:v>0.46272286253584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77358441"/>
        <c:axId val="20362491"/>
      </c:lineChart>
      <c:catAx>
        <c:axId val="7735844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362491"/>
        <c:crosses val="autoZero"/>
        <c:auto val="1"/>
        <c:lblAlgn val="ctr"/>
        <c:lblOffset val="100"/>
        <c:noMultiLvlLbl val="0"/>
      </c:catAx>
      <c:valAx>
        <c:axId val="2036249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735844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产品销售额结构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产品排名!D5</c:f>
              <c:strCache>
                <c:ptCount val="1"/>
                <c:pt idx="0">
                  <c:v>销售额(元)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bacc6"/>
              </a:solidFill>
              <a:ln w="0">
                <a:noFill/>
              </a:ln>
            </c:spPr>
          </c:dPt>
          <c:dPt>
            <c:idx val="5"/>
            <c:spPr>
              <a:solidFill>
                <a:srgbClr val="f79646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产品排名!$C$6:$C$11</c:f>
              <c:strCache>
                <c:ptCount val="6"/>
                <c:pt idx="0">
                  <c:v>智控温控器</c:v>
                </c:pt>
                <c:pt idx="1">
                  <c:v>无线传感网关</c:v>
                </c:pt>
                <c:pt idx="2">
                  <c:v>能耗分析云-标准版</c:v>
                </c:pt>
                <c:pt idx="3">
                  <c:v>能耗分析云-企业版</c:v>
                </c:pt>
                <c:pt idx="4">
                  <c:v>现场部署服务</c:v>
                </c:pt>
                <c:pt idx="5">
                  <c:v>运维托管年包</c:v>
                </c:pt>
              </c:strCache>
            </c:strRef>
          </c:cat>
          <c:val>
            <c:numRef>
              <c:f>产品排名!$D$6:$D$11</c:f>
              <c:numCache>
                <c:formatCode>General</c:formatCode>
                <c:ptCount val="6"/>
                <c:pt idx="0">
                  <c:v>177110</c:v>
                </c:pt>
                <c:pt idx="1">
                  <c:v>320602</c:v>
                </c:pt>
                <c:pt idx="2">
                  <c:v>434817</c:v>
                </c:pt>
                <c:pt idx="3">
                  <c:v>447943</c:v>
                </c:pt>
                <c:pt idx="4">
                  <c:v>455735</c:v>
                </c:pt>
                <c:pt idx="5">
                  <c:v>1129141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区域销售额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区域分析!C5</c:f>
              <c:strCache>
                <c:ptCount val="1"/>
                <c:pt idx="0">
                  <c:v>销售额(元)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区域分析!$A$6:$A$9</c:f>
              <c:strCache>
                <c:ptCount val="4"/>
                <c:pt idx="0">
                  <c:v>华东</c:v>
                </c:pt>
                <c:pt idx="1">
                  <c:v>华北</c:v>
                </c:pt>
                <c:pt idx="2">
                  <c:v>华南</c:v>
                </c:pt>
                <c:pt idx="3">
                  <c:v>西部</c:v>
                </c:pt>
              </c:strCache>
            </c:strRef>
          </c:cat>
          <c:val>
            <c:numRef>
              <c:f>区域分析!$C$6:$C$9</c:f>
              <c:numCache>
                <c:formatCode>General</c:formatCode>
                <c:ptCount val="4"/>
                <c:pt idx="0">
                  <c:v>491180</c:v>
                </c:pt>
                <c:pt idx="1">
                  <c:v>847250</c:v>
                </c:pt>
                <c:pt idx="2">
                  <c:v>881839</c:v>
                </c:pt>
                <c:pt idx="3">
                  <c:v>745079</c:v>
                </c:pt>
              </c:numCache>
            </c:numRef>
          </c:val>
        </c:ser>
        <c:gapWidth val="150"/>
        <c:overlap val="0"/>
        <c:axId val="982624"/>
        <c:axId val="47351210"/>
      </c:barChart>
      <c:catAx>
        <c:axId val="982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351210"/>
        <c:crosses val="autoZero"/>
        <c:auto val="1"/>
        <c:lblAlgn val="ctr"/>
        <c:lblOffset val="100"/>
        <c:noMultiLvlLbl val="0"/>
      </c:catAx>
      <c:valAx>
        <c:axId val="4735121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262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5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chart" Target="../charts/chart7.xml"/><Relationship Id="rId3" Type="http://schemas.openxmlformats.org/officeDocument/2006/relationships/chart" Target="../charts/chart8.xml"/><Relationship Id="rId4" Type="http://schemas.openxmlformats.org/officeDocument/2006/relationships/chart" Target="../charts/chart9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19</xdr:row>
      <xdr:rowOff>0</xdr:rowOff>
    </xdr:from>
    <xdr:to>
      <xdr:col>7</xdr:col>
      <xdr:colOff>176400</xdr:colOff>
      <xdr:row>35</xdr:row>
      <xdr:rowOff>11520</xdr:rowOff>
    </xdr:to>
    <xdr:graphicFrame>
      <xdr:nvGraphicFramePr>
        <xdr:cNvPr id="0" name="Chart 1"/>
        <xdr:cNvGraphicFramePr/>
      </xdr:nvGraphicFramePr>
      <xdr:xfrm>
        <a:off x="0" y="3809880"/>
        <a:ext cx="719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37</xdr:row>
      <xdr:rowOff>0</xdr:rowOff>
    </xdr:from>
    <xdr:to>
      <xdr:col>7</xdr:col>
      <xdr:colOff>176400</xdr:colOff>
      <xdr:row>53</xdr:row>
      <xdr:rowOff>11520</xdr:rowOff>
    </xdr:to>
    <xdr:graphicFrame>
      <xdr:nvGraphicFramePr>
        <xdr:cNvPr id="1" name="Chart 2"/>
        <xdr:cNvGraphicFramePr/>
      </xdr:nvGraphicFramePr>
      <xdr:xfrm>
        <a:off x="0" y="7238880"/>
        <a:ext cx="719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13</xdr:row>
      <xdr:rowOff>0</xdr:rowOff>
    </xdr:from>
    <xdr:to>
      <xdr:col>5</xdr:col>
      <xdr:colOff>612360</xdr:colOff>
      <xdr:row>28</xdr:row>
      <xdr:rowOff>21960</xdr:rowOff>
    </xdr:to>
    <xdr:graphicFrame>
      <xdr:nvGraphicFramePr>
        <xdr:cNvPr id="2" name="Chart 1"/>
        <xdr:cNvGraphicFramePr/>
      </xdr:nvGraphicFramePr>
      <xdr:xfrm>
        <a:off x="0" y="266688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13</xdr:row>
      <xdr:rowOff>0</xdr:rowOff>
    </xdr:from>
    <xdr:to>
      <xdr:col>10</xdr:col>
      <xdr:colOff>271440</xdr:colOff>
      <xdr:row>28</xdr:row>
      <xdr:rowOff>21960</xdr:rowOff>
    </xdr:to>
    <xdr:graphicFrame>
      <xdr:nvGraphicFramePr>
        <xdr:cNvPr id="3" name="Chart 2"/>
        <xdr:cNvGraphicFramePr/>
      </xdr:nvGraphicFramePr>
      <xdr:xfrm>
        <a:off x="5867280" y="2666880"/>
        <a:ext cx="43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11</xdr:row>
      <xdr:rowOff>0</xdr:rowOff>
    </xdr:from>
    <xdr:to>
      <xdr:col>4</xdr:col>
      <xdr:colOff>230400</xdr:colOff>
      <xdr:row>26</xdr:row>
      <xdr:rowOff>21960</xdr:rowOff>
    </xdr:to>
    <xdr:graphicFrame>
      <xdr:nvGraphicFramePr>
        <xdr:cNvPr id="4" name="Chart 1"/>
        <xdr:cNvGraphicFramePr/>
      </xdr:nvGraphicFramePr>
      <xdr:xfrm>
        <a:off x="0" y="2286000"/>
        <a:ext cx="43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10</xdr:row>
      <xdr:rowOff>0</xdr:rowOff>
    </xdr:from>
    <xdr:to>
      <xdr:col>5</xdr:col>
      <xdr:colOff>1136880</xdr:colOff>
      <xdr:row>24</xdr:row>
      <xdr:rowOff>32400</xdr:rowOff>
    </xdr:to>
    <xdr:graphicFrame>
      <xdr:nvGraphicFramePr>
        <xdr:cNvPr id="5" name="Chart 1"/>
        <xdr:cNvGraphicFramePr/>
      </xdr:nvGraphicFramePr>
      <xdr:xfrm>
        <a:off x="266760" y="2809800"/>
        <a:ext cx="57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10</xdr:row>
      <xdr:rowOff>0</xdr:rowOff>
    </xdr:from>
    <xdr:to>
      <xdr:col>9</xdr:col>
      <xdr:colOff>1136880</xdr:colOff>
      <xdr:row>24</xdr:row>
      <xdr:rowOff>32400</xdr:rowOff>
    </xdr:to>
    <xdr:graphicFrame>
      <xdr:nvGraphicFramePr>
        <xdr:cNvPr id="6" name="Chart 2"/>
        <xdr:cNvGraphicFramePr/>
      </xdr:nvGraphicFramePr>
      <xdr:xfrm>
        <a:off x="4889520" y="2809800"/>
        <a:ext cx="57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26</xdr:row>
      <xdr:rowOff>0</xdr:rowOff>
    </xdr:from>
    <xdr:to>
      <xdr:col>5</xdr:col>
      <xdr:colOff>1136880</xdr:colOff>
      <xdr:row>40</xdr:row>
      <xdr:rowOff>32760</xdr:rowOff>
    </xdr:to>
    <xdr:graphicFrame>
      <xdr:nvGraphicFramePr>
        <xdr:cNvPr id="7" name="Chart 3"/>
        <xdr:cNvGraphicFramePr/>
      </xdr:nvGraphicFramePr>
      <xdr:xfrm>
        <a:off x="266760" y="5857920"/>
        <a:ext cx="57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5</xdr:col>
      <xdr:colOff>0</xdr:colOff>
      <xdr:row>26</xdr:row>
      <xdr:rowOff>0</xdr:rowOff>
    </xdr:from>
    <xdr:to>
      <xdr:col>9</xdr:col>
      <xdr:colOff>1136880</xdr:colOff>
      <xdr:row>40</xdr:row>
      <xdr:rowOff>32760</xdr:rowOff>
    </xdr:to>
    <xdr:graphicFrame>
      <xdr:nvGraphicFramePr>
        <xdr:cNvPr id="8" name="Chart 4"/>
        <xdr:cNvGraphicFramePr/>
      </xdr:nvGraphicFramePr>
      <xdr:xfrm>
        <a:off x="4889520" y="5857920"/>
        <a:ext cx="57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6" min="3" style="0" width="20"/>
    <col collapsed="false" customWidth="true" hidden="false" outlineLevel="0" max="7" min="7" style="0" width="6"/>
  </cols>
  <sheetData>
    <row r="2" customFormat="false" ht="39.75" hidden="false" customHeight="true" outlineLevel="0" collapsed="false">
      <c r="B2" s="1" t="s">
        <v>0</v>
      </c>
      <c r="C2" s="1"/>
      <c r="D2" s="1"/>
      <c r="E2" s="1"/>
      <c r="F2" s="1"/>
    </row>
    <row r="3" customFormat="false" ht="21.75" hidden="false" customHeight="true" outlineLevel="0" collapsed="false">
      <c r="B3" s="2" t="s">
        <v>1</v>
      </c>
      <c r="C3" s="2"/>
      <c r="D3" s="2"/>
      <c r="E3" s="2"/>
      <c r="F3" s="2"/>
    </row>
    <row r="6" customFormat="false" ht="30" hidden="false" customHeight="true" outlineLevel="0" collapsed="false">
      <c r="B6" s="3" t="s">
        <v>2</v>
      </c>
      <c r="C6" s="4" t="s">
        <v>3</v>
      </c>
      <c r="D6" s="4"/>
      <c r="E6" s="4"/>
      <c r="F6" s="4"/>
    </row>
    <row r="7" customFormat="false" ht="30" hidden="false" customHeight="true" outlineLevel="0" collapsed="false">
      <c r="B7" s="3" t="s">
        <v>4</v>
      </c>
      <c r="C7" s="4" t="s">
        <v>5</v>
      </c>
      <c r="D7" s="4"/>
      <c r="E7" s="4"/>
      <c r="F7" s="4"/>
    </row>
    <row r="8" customFormat="false" ht="30" hidden="false" customHeight="true" outlineLevel="0" collapsed="false">
      <c r="B8" s="3" t="s">
        <v>6</v>
      </c>
      <c r="C8" s="4" t="s">
        <v>7</v>
      </c>
      <c r="D8" s="4"/>
      <c r="E8" s="4"/>
      <c r="F8" s="4"/>
    </row>
    <row r="9" customFormat="false" ht="30" hidden="false" customHeight="true" outlineLevel="0" collapsed="false">
      <c r="B9" s="3" t="s">
        <v>8</v>
      </c>
      <c r="C9" s="5" t="s">
        <v>9</v>
      </c>
      <c r="D9" s="5"/>
      <c r="E9" s="5"/>
      <c r="F9" s="5"/>
    </row>
    <row r="10" customFormat="false" ht="30" hidden="false" customHeight="true" outlineLevel="0" collapsed="false">
      <c r="B10" s="3" t="s">
        <v>10</v>
      </c>
      <c r="C10" s="5" t="s">
        <v>11</v>
      </c>
      <c r="D10" s="5"/>
      <c r="E10" s="5"/>
      <c r="F10" s="5"/>
    </row>
    <row r="12" customFormat="false" ht="15" hidden="false" customHeight="false" outlineLevel="0" collapsed="false">
      <c r="B12" s="6" t="s">
        <v>12</v>
      </c>
    </row>
    <row r="13" customFormat="false" ht="15" hidden="false" customHeight="true" outlineLevel="0" collapsed="false">
      <c r="B13" s="7" t="s">
        <v>13</v>
      </c>
      <c r="C13" s="7" t="s">
        <v>14</v>
      </c>
      <c r="D13" s="7"/>
      <c r="E13" s="7"/>
      <c r="F13" s="7"/>
    </row>
    <row r="14" customFormat="false" ht="15" hidden="false" customHeight="false" outlineLevel="0" collapsed="false">
      <c r="B14" s="8" t="s">
        <v>15</v>
      </c>
      <c r="C14" s="9" t="s">
        <v>16</v>
      </c>
      <c r="D14" s="9"/>
      <c r="E14" s="9"/>
      <c r="F14" s="9"/>
    </row>
    <row r="15" customFormat="false" ht="15" hidden="false" customHeight="false" outlineLevel="0" collapsed="false">
      <c r="B15" s="8" t="s">
        <v>17</v>
      </c>
      <c r="C15" s="9" t="s">
        <v>18</v>
      </c>
      <c r="D15" s="9"/>
      <c r="E15" s="9"/>
      <c r="F15" s="9"/>
    </row>
    <row r="16" customFormat="false" ht="15" hidden="false" customHeight="false" outlineLevel="0" collapsed="false">
      <c r="B16" s="8" t="s">
        <v>19</v>
      </c>
      <c r="C16" s="9" t="s">
        <v>20</v>
      </c>
      <c r="D16" s="9"/>
      <c r="E16" s="9"/>
      <c r="F16" s="9"/>
    </row>
    <row r="17" customFormat="false" ht="15" hidden="false" customHeight="false" outlineLevel="0" collapsed="false">
      <c r="B17" s="8" t="s">
        <v>21</v>
      </c>
      <c r="C17" s="9" t="s">
        <v>22</v>
      </c>
      <c r="D17" s="9"/>
      <c r="E17" s="9"/>
      <c r="F17" s="9"/>
    </row>
    <row r="18" customFormat="false" ht="15" hidden="false" customHeight="false" outlineLevel="0" collapsed="false">
      <c r="B18" s="8" t="s">
        <v>23</v>
      </c>
      <c r="C18" s="9" t="s">
        <v>24</v>
      </c>
      <c r="D18" s="9"/>
      <c r="E18" s="9"/>
      <c r="F18" s="9"/>
    </row>
    <row r="19" customFormat="false" ht="15" hidden="false" customHeight="false" outlineLevel="0" collapsed="false">
      <c r="B19" s="8" t="s">
        <v>25</v>
      </c>
      <c r="C19" s="9" t="s">
        <v>26</v>
      </c>
      <c r="D19" s="9"/>
      <c r="E19" s="9"/>
      <c r="F19" s="9"/>
    </row>
    <row r="20" customFormat="false" ht="15" hidden="false" customHeight="false" outlineLevel="0" collapsed="false">
      <c r="B20" s="8" t="s">
        <v>27</v>
      </c>
      <c r="C20" s="9" t="s">
        <v>28</v>
      </c>
      <c r="D20" s="9"/>
      <c r="E20" s="9"/>
      <c r="F20" s="9"/>
    </row>
    <row r="21" customFormat="false" ht="15" hidden="false" customHeight="false" outlineLevel="0" collapsed="false">
      <c r="B21" s="8" t="s">
        <v>29</v>
      </c>
      <c r="C21" s="9" t="s">
        <v>30</v>
      </c>
      <c r="D21" s="9"/>
      <c r="E21" s="9"/>
      <c r="F21" s="9"/>
    </row>
    <row r="23" customFormat="false" ht="30" hidden="false" customHeight="true" outlineLevel="0" collapsed="false">
      <c r="B23" s="10" t="s">
        <v>31</v>
      </c>
      <c r="C23" s="10"/>
      <c r="D23" s="10"/>
      <c r="E23" s="10"/>
      <c r="F23" s="10"/>
    </row>
  </sheetData>
  <mergeCells count="17">
    <mergeCell ref="B2:F2"/>
    <mergeCell ref="B3:F3"/>
    <mergeCell ref="C6:F6"/>
    <mergeCell ref="C7:F7"/>
    <mergeCell ref="C8:F8"/>
    <mergeCell ref="C9:F9"/>
    <mergeCell ref="C10:F10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B23:F23"/>
  </mergeCell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&amp;L境核AI · 销售数据分析模板&amp;R标准版</oddHeader>
    <oddFooter>&amp;L示例数据（虚构）&amp;C&amp;A&amp;R第 &amp;P 页 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40"/>
  </cols>
  <sheetData>
    <row r="2" customFormat="false" ht="33.75" hidden="false" customHeight="true" outlineLevel="0" collapsed="false">
      <c r="B2" s="11" t="s">
        <v>32</v>
      </c>
      <c r="C2" s="11"/>
      <c r="D2" s="11"/>
    </row>
    <row r="3" customFormat="false" ht="15" hidden="false" customHeight="false" outlineLevel="0" collapsed="false">
      <c r="B3" s="12" t="s">
        <v>33</v>
      </c>
      <c r="C3" s="12"/>
      <c r="D3" s="12"/>
    </row>
    <row r="5" customFormat="false" ht="15" hidden="false" customHeight="false" outlineLevel="0" collapsed="false">
      <c r="B5" s="7" t="s">
        <v>34</v>
      </c>
      <c r="C5" s="7" t="s">
        <v>35</v>
      </c>
      <c r="D5" s="7" t="s">
        <v>15</v>
      </c>
    </row>
    <row r="6" customFormat="false" ht="15" hidden="false" customHeight="false" outlineLevel="0" collapsed="false">
      <c r="B6" s="13" t="s">
        <v>36</v>
      </c>
      <c r="C6" s="14" t="n">
        <v>2025</v>
      </c>
      <c r="D6" s="9" t="s">
        <v>37</v>
      </c>
    </row>
    <row r="7" customFormat="false" ht="15" hidden="false" customHeight="false" outlineLevel="0" collapsed="false">
      <c r="B7" s="13" t="s">
        <v>38</v>
      </c>
      <c r="C7" s="15" t="s">
        <v>39</v>
      </c>
      <c r="D7" s="9" t="s">
        <v>40</v>
      </c>
    </row>
    <row r="8" customFormat="false" ht="15" hidden="false" customHeight="false" outlineLevel="0" collapsed="false">
      <c r="B8" s="13" t="s">
        <v>41</v>
      </c>
      <c r="C8" s="16" t="n">
        <v>900000</v>
      </c>
      <c r="D8" s="9" t="s">
        <v>42</v>
      </c>
    </row>
    <row r="9" customFormat="false" ht="15" hidden="false" customHeight="false" outlineLevel="0" collapsed="false">
      <c r="B9" s="13" t="s">
        <v>43</v>
      </c>
      <c r="C9" s="17" t="n">
        <v>0.32</v>
      </c>
      <c r="D9" s="9" t="s">
        <v>44</v>
      </c>
    </row>
    <row r="10" customFormat="false" ht="15" hidden="false" customHeight="false" outlineLevel="0" collapsed="false">
      <c r="B10" s="13" t="s">
        <v>45</v>
      </c>
      <c r="C10" s="17" t="n">
        <v>0.62</v>
      </c>
      <c r="D10" s="9" t="s">
        <v>46</v>
      </c>
    </row>
    <row r="11" customFormat="false" ht="15" hidden="false" customHeight="false" outlineLevel="0" collapsed="false">
      <c r="B11" s="18" t="s">
        <v>47</v>
      </c>
      <c r="C11" s="17" t="n">
        <v>0.7</v>
      </c>
      <c r="D11" s="9" t="s">
        <v>48</v>
      </c>
    </row>
    <row r="12" customFormat="false" ht="15" hidden="false" customHeight="false" outlineLevel="0" collapsed="false">
      <c r="B12" s="18" t="s">
        <v>49</v>
      </c>
      <c r="C12" s="17" t="n">
        <v>0.9</v>
      </c>
      <c r="D12" s="9" t="s">
        <v>50</v>
      </c>
    </row>
    <row r="13" customFormat="false" ht="15" hidden="false" customHeight="false" outlineLevel="0" collapsed="false">
      <c r="B13" s="13" t="s">
        <v>51</v>
      </c>
      <c r="C13" s="19" t="s">
        <v>52</v>
      </c>
      <c r="D13" s="9" t="s">
        <v>53</v>
      </c>
    </row>
  </sheetData>
  <mergeCells count="2">
    <mergeCell ref="B2:D2"/>
    <mergeCell ref="B3:D3"/>
  </mergeCell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&amp;L境核AI · 销售数据分析模板&amp;R标准版</oddHeader>
    <oddFooter>&amp;L示例数据（虚构）&amp;C&amp;A&amp;R第 &amp;P 页 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P1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3" min="3" style="0" width="7"/>
    <col collapsed="false" customWidth="true" hidden="false" outlineLevel="0" max="4" min="4" style="0" width="8"/>
    <col collapsed="false" customWidth="true" hidden="false" outlineLevel="0" max="5" min="5" style="0" width="9"/>
    <col collapsed="false" customWidth="true" hidden="false" outlineLevel="0" max="6" min="6" style="0" width="8"/>
    <col collapsed="false" customWidth="true" hidden="false" outlineLevel="0" max="7" min="7" style="0" width="11"/>
    <col collapsed="false" customWidth="true" hidden="false" outlineLevel="0" max="8" min="8" style="0" width="20"/>
    <col collapsed="false" customWidth="true" hidden="false" outlineLevel="0" max="9" min="9" style="0" width="12"/>
    <col collapsed="false" customWidth="true" hidden="false" outlineLevel="0" max="10" min="10" style="0" width="11"/>
    <col collapsed="false" customWidth="true" hidden="false" outlineLevel="0" max="11" min="11" style="0" width="8"/>
    <col collapsed="false" customWidth="true" hidden="false" outlineLevel="0" max="12" min="12" style="0" width="13"/>
    <col collapsed="false" customWidth="true" hidden="false" outlineLevel="0" max="13" min="13" style="0" width="12"/>
    <col collapsed="false" customWidth="true" hidden="false" outlineLevel="0" max="15" min="14" style="0" width="13"/>
    <col collapsed="false" customWidth="true" hidden="false" outlineLevel="0" max="16" min="16" style="0" width="9"/>
  </cols>
  <sheetData>
    <row r="2" customFormat="false" ht="30" hidden="false" customHeight="true" outlineLevel="0" collapsed="false">
      <c r="A2" s="11" t="s">
        <v>54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customFormat="false" ht="15" hidden="false" customHeight="false" outlineLevel="0" collapsed="false">
      <c r="A3" s="12" t="s">
        <v>55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6" customFormat="false" ht="15" hidden="false" customHeight="false" outlineLevel="0" collapsed="false">
      <c r="A6" s="7" t="s">
        <v>56</v>
      </c>
      <c r="B6" s="7" t="s">
        <v>57</v>
      </c>
      <c r="C6" s="7" t="s">
        <v>58</v>
      </c>
      <c r="D6" s="7" t="s">
        <v>59</v>
      </c>
      <c r="E6" s="7" t="s">
        <v>60</v>
      </c>
      <c r="F6" s="7" t="s">
        <v>61</v>
      </c>
      <c r="G6" s="7" t="s">
        <v>62</v>
      </c>
      <c r="H6" s="7" t="s">
        <v>63</v>
      </c>
      <c r="I6" s="7" t="s">
        <v>64</v>
      </c>
      <c r="J6" s="7" t="s">
        <v>65</v>
      </c>
      <c r="K6" s="7" t="s">
        <v>66</v>
      </c>
      <c r="L6" s="7" t="s">
        <v>67</v>
      </c>
      <c r="M6" s="7" t="s">
        <v>68</v>
      </c>
      <c r="N6" s="7" t="s">
        <v>69</v>
      </c>
      <c r="O6" s="7" t="s">
        <v>70</v>
      </c>
      <c r="P6" s="7" t="s">
        <v>71</v>
      </c>
    </row>
    <row r="7" customFormat="false" ht="15" hidden="false" customHeight="false" outlineLevel="0" collapsed="false">
      <c r="A7" s="20" t="s">
        <v>72</v>
      </c>
      <c r="B7" s="21" t="n">
        <f aca="false">DATE(参数假设!$C$6,1,3)</f>
        <v>45660</v>
      </c>
      <c r="C7" s="22" t="n">
        <f aca="false">MONTH(B7)</f>
        <v>1</v>
      </c>
      <c r="D7" s="23" t="s">
        <v>73</v>
      </c>
      <c r="E7" s="23" t="s">
        <v>74</v>
      </c>
      <c r="F7" s="23" t="s">
        <v>75</v>
      </c>
      <c r="G7" s="20" t="s">
        <v>76</v>
      </c>
      <c r="H7" s="24" t="s">
        <v>77</v>
      </c>
      <c r="I7" s="23" t="s">
        <v>78</v>
      </c>
      <c r="J7" s="25" t="n">
        <v>456</v>
      </c>
      <c r="K7" s="26" t="n">
        <v>28</v>
      </c>
      <c r="L7" s="27" t="n">
        <f aca="false">J7*K7</f>
        <v>12768</v>
      </c>
      <c r="M7" s="25" t="n">
        <v>305</v>
      </c>
      <c r="N7" s="27" t="n">
        <f aca="false">IF(M7="",L7*参数假设!$C$10,M7)*K7</f>
        <v>8540</v>
      </c>
      <c r="O7" s="27" t="n">
        <f aca="false">L7-N7</f>
        <v>4228</v>
      </c>
      <c r="P7" s="28" t="n">
        <f aca="false">IF(L7=0,0,O7/L7)</f>
        <v>0.331140350877193</v>
      </c>
    </row>
    <row r="8" customFormat="false" ht="15" hidden="false" customHeight="false" outlineLevel="0" collapsed="false">
      <c r="A8" s="29" t="s">
        <v>79</v>
      </c>
      <c r="B8" s="30" t="n">
        <f aca="false">DATE(参数假设!$C$6,1,6)</f>
        <v>45663</v>
      </c>
      <c r="C8" s="31" t="n">
        <f aca="false">MONTH(B8)</f>
        <v>1</v>
      </c>
      <c r="D8" s="32" t="s">
        <v>80</v>
      </c>
      <c r="E8" s="32" t="s">
        <v>81</v>
      </c>
      <c r="F8" s="32" t="s">
        <v>82</v>
      </c>
      <c r="G8" s="29" t="s">
        <v>83</v>
      </c>
      <c r="H8" s="33" t="s">
        <v>84</v>
      </c>
      <c r="I8" s="32" t="s">
        <v>78</v>
      </c>
      <c r="J8" s="34" t="n">
        <v>779</v>
      </c>
      <c r="K8" s="35" t="n">
        <v>6</v>
      </c>
      <c r="L8" s="27" t="n">
        <f aca="false">J8*K8</f>
        <v>4674</v>
      </c>
      <c r="M8" s="34" t="n">
        <v>457</v>
      </c>
      <c r="N8" s="27" t="n">
        <f aca="false">IF(M8="",L8*参数假设!$C$10,M8)*K8</f>
        <v>2742</v>
      </c>
      <c r="O8" s="27" t="n">
        <f aca="false">L8-N8</f>
        <v>1932</v>
      </c>
      <c r="P8" s="28" t="n">
        <f aca="false">IF(L8=0,0,O8/L8)</f>
        <v>0.413350449293967</v>
      </c>
    </row>
    <row r="9" customFormat="false" ht="15" hidden="false" customHeight="false" outlineLevel="0" collapsed="false">
      <c r="A9" s="20" t="s">
        <v>85</v>
      </c>
      <c r="B9" s="21" t="n">
        <f aca="false">DATE(参数假设!$C$6,1,7)</f>
        <v>45664</v>
      </c>
      <c r="C9" s="22" t="n">
        <f aca="false">MONTH(B9)</f>
        <v>1</v>
      </c>
      <c r="D9" s="23" t="s">
        <v>73</v>
      </c>
      <c r="E9" s="23" t="s">
        <v>86</v>
      </c>
      <c r="F9" s="23" t="s">
        <v>61</v>
      </c>
      <c r="G9" s="20" t="s">
        <v>87</v>
      </c>
      <c r="H9" s="24" t="s">
        <v>88</v>
      </c>
      <c r="I9" s="23" t="s">
        <v>89</v>
      </c>
      <c r="J9" s="25" t="n">
        <v>5087</v>
      </c>
      <c r="K9" s="26" t="n">
        <v>1</v>
      </c>
      <c r="L9" s="27" t="n">
        <f aca="false">J9*K9</f>
        <v>5087</v>
      </c>
      <c r="M9" s="25" t="n">
        <v>3107</v>
      </c>
      <c r="N9" s="27" t="n">
        <f aca="false">IF(M9="",L9*参数假设!$C$10,M9)*K9</f>
        <v>3107</v>
      </c>
      <c r="O9" s="27" t="n">
        <f aca="false">L9-N9</f>
        <v>1980</v>
      </c>
      <c r="P9" s="28" t="n">
        <f aca="false">IF(L9=0,0,O9/L9)</f>
        <v>0.389227442500491</v>
      </c>
    </row>
    <row r="10" customFormat="false" ht="15" hidden="false" customHeight="false" outlineLevel="0" collapsed="false">
      <c r="A10" s="29" t="s">
        <v>90</v>
      </c>
      <c r="B10" s="30" t="n">
        <f aca="false">DATE(参数假设!$C$6,1,11)</f>
        <v>45668</v>
      </c>
      <c r="C10" s="31" t="n">
        <f aca="false">MONTH(B10)</f>
        <v>1</v>
      </c>
      <c r="D10" s="32" t="s">
        <v>73</v>
      </c>
      <c r="E10" s="32" t="s">
        <v>86</v>
      </c>
      <c r="F10" s="32" t="s">
        <v>61</v>
      </c>
      <c r="G10" s="29" t="s">
        <v>76</v>
      </c>
      <c r="H10" s="33" t="s">
        <v>77</v>
      </c>
      <c r="I10" s="32" t="s">
        <v>78</v>
      </c>
      <c r="J10" s="34" t="n">
        <v>506</v>
      </c>
      <c r="K10" s="35" t="n">
        <v>17</v>
      </c>
      <c r="L10" s="27" t="n">
        <f aca="false">J10*K10</f>
        <v>8602</v>
      </c>
      <c r="M10" s="34" t="n">
        <v>312</v>
      </c>
      <c r="N10" s="27" t="n">
        <f aca="false">IF(M10="",L10*参数假设!$C$10,M10)*K10</f>
        <v>5304</v>
      </c>
      <c r="O10" s="27" t="n">
        <f aca="false">L10-N10</f>
        <v>3298</v>
      </c>
      <c r="P10" s="28" t="n">
        <f aca="false">IF(L10=0,0,O10/L10)</f>
        <v>0.383399209486166</v>
      </c>
    </row>
    <row r="11" customFormat="false" ht="15" hidden="false" customHeight="false" outlineLevel="0" collapsed="false">
      <c r="A11" s="20" t="s">
        <v>91</v>
      </c>
      <c r="B11" s="21" t="n">
        <f aca="false">DATE(参数假设!$C$6,1,12)</f>
        <v>45669</v>
      </c>
      <c r="C11" s="22" t="n">
        <f aca="false">MONTH(B11)</f>
        <v>1</v>
      </c>
      <c r="D11" s="23" t="s">
        <v>92</v>
      </c>
      <c r="E11" s="23" t="s">
        <v>93</v>
      </c>
      <c r="F11" s="23" t="s">
        <v>75</v>
      </c>
      <c r="G11" s="20" t="s">
        <v>83</v>
      </c>
      <c r="H11" s="24" t="s">
        <v>84</v>
      </c>
      <c r="I11" s="23" t="s">
        <v>78</v>
      </c>
      <c r="J11" s="25" t="n">
        <v>725</v>
      </c>
      <c r="K11" s="26" t="n">
        <v>21</v>
      </c>
      <c r="L11" s="27" t="n">
        <f aca="false">J11*K11</f>
        <v>15225</v>
      </c>
      <c r="M11" s="25" t="n">
        <v>477</v>
      </c>
      <c r="N11" s="27" t="n">
        <f aca="false">IF(M11="",L11*参数假设!$C$10,M11)*K11</f>
        <v>10017</v>
      </c>
      <c r="O11" s="27" t="n">
        <f aca="false">L11-N11</f>
        <v>5208</v>
      </c>
      <c r="P11" s="28" t="n">
        <f aca="false">IF(L11=0,0,O11/L11)</f>
        <v>0.342068965517241</v>
      </c>
    </row>
    <row r="12" customFormat="false" ht="15" hidden="false" customHeight="false" outlineLevel="0" collapsed="false">
      <c r="A12" s="29" t="s">
        <v>94</v>
      </c>
      <c r="B12" s="30" t="n">
        <f aca="false">DATE(参数假设!$C$6,1,14)</f>
        <v>45671</v>
      </c>
      <c r="C12" s="31" t="n">
        <f aca="false">MONTH(B12)</f>
        <v>1</v>
      </c>
      <c r="D12" s="32" t="s">
        <v>73</v>
      </c>
      <c r="E12" s="32" t="s">
        <v>74</v>
      </c>
      <c r="F12" s="32" t="s">
        <v>82</v>
      </c>
      <c r="G12" s="29" t="s">
        <v>95</v>
      </c>
      <c r="H12" s="33" t="s">
        <v>96</v>
      </c>
      <c r="I12" s="32" t="s">
        <v>97</v>
      </c>
      <c r="J12" s="34" t="n">
        <v>3475</v>
      </c>
      <c r="K12" s="35" t="n">
        <v>4</v>
      </c>
      <c r="L12" s="27" t="n">
        <f aca="false">J12*K12</f>
        <v>13900</v>
      </c>
      <c r="M12" s="34" t="n">
        <v>897</v>
      </c>
      <c r="N12" s="27" t="n">
        <f aca="false">IF(M12="",L12*参数假设!$C$10,M12)*K12</f>
        <v>3588</v>
      </c>
      <c r="O12" s="27" t="n">
        <f aca="false">L12-N12</f>
        <v>10312</v>
      </c>
      <c r="P12" s="28" t="n">
        <f aca="false">IF(L12=0,0,O12/L12)</f>
        <v>0.741870503597122</v>
      </c>
    </row>
    <row r="13" customFormat="false" ht="15" hidden="false" customHeight="false" outlineLevel="0" collapsed="false">
      <c r="A13" s="20" t="s">
        <v>98</v>
      </c>
      <c r="B13" s="21" t="n">
        <f aca="false">DATE(参数假设!$C$6,1,19)</f>
        <v>45676</v>
      </c>
      <c r="C13" s="22" t="n">
        <f aca="false">MONTH(B13)</f>
        <v>1</v>
      </c>
      <c r="D13" s="23" t="s">
        <v>99</v>
      </c>
      <c r="E13" s="23" t="s">
        <v>100</v>
      </c>
      <c r="F13" s="23" t="s">
        <v>61</v>
      </c>
      <c r="G13" s="20" t="s">
        <v>101</v>
      </c>
      <c r="H13" s="24" t="s">
        <v>102</v>
      </c>
      <c r="I13" s="23" t="s">
        <v>89</v>
      </c>
      <c r="J13" s="25" t="n">
        <v>2033</v>
      </c>
      <c r="K13" s="26" t="n">
        <v>7</v>
      </c>
      <c r="L13" s="27" t="n">
        <f aca="false">J13*K13</f>
        <v>14231</v>
      </c>
      <c r="M13" s="25" t="n">
        <v>1251</v>
      </c>
      <c r="N13" s="27" t="n">
        <f aca="false">IF(M13="",L13*参数假设!$C$10,M13)*K13</f>
        <v>8757</v>
      </c>
      <c r="O13" s="27" t="n">
        <f aca="false">L13-N13</f>
        <v>5474</v>
      </c>
      <c r="P13" s="28" t="n">
        <f aca="false">IF(L13=0,0,O13/L13)</f>
        <v>0.384653221839646</v>
      </c>
    </row>
    <row r="14" customFormat="false" ht="15" hidden="false" customHeight="false" outlineLevel="0" collapsed="false">
      <c r="A14" s="29" t="s">
        <v>103</v>
      </c>
      <c r="B14" s="30" t="n">
        <f aca="false">DATE(参数假设!$C$6,1,19)</f>
        <v>45676</v>
      </c>
      <c r="C14" s="31" t="n">
        <f aca="false">MONTH(B14)</f>
        <v>1</v>
      </c>
      <c r="D14" s="32" t="s">
        <v>92</v>
      </c>
      <c r="E14" s="32" t="s">
        <v>93</v>
      </c>
      <c r="F14" s="32" t="s">
        <v>82</v>
      </c>
      <c r="G14" s="29" t="s">
        <v>95</v>
      </c>
      <c r="H14" s="33" t="s">
        <v>96</v>
      </c>
      <c r="I14" s="32" t="s">
        <v>97</v>
      </c>
      <c r="J14" s="34" t="n">
        <v>3515</v>
      </c>
      <c r="K14" s="35" t="n">
        <v>3</v>
      </c>
      <c r="L14" s="27" t="n">
        <f aca="false">J14*K14</f>
        <v>10545</v>
      </c>
      <c r="M14" s="34" t="n">
        <v>903</v>
      </c>
      <c r="N14" s="27" t="n">
        <f aca="false">IF(M14="",L14*参数假设!$C$10,M14)*K14</f>
        <v>2709</v>
      </c>
      <c r="O14" s="27" t="n">
        <f aca="false">L14-N14</f>
        <v>7836</v>
      </c>
      <c r="P14" s="28" t="n">
        <f aca="false">IF(L14=0,0,O14/L14)</f>
        <v>0.743100995732575</v>
      </c>
    </row>
    <row r="15" customFormat="false" ht="15" hidden="false" customHeight="false" outlineLevel="0" collapsed="false">
      <c r="A15" s="20" t="s">
        <v>104</v>
      </c>
      <c r="B15" s="21" t="n">
        <f aca="false">DATE(参数假设!$C$6,1,20)</f>
        <v>45677</v>
      </c>
      <c r="C15" s="22" t="n">
        <f aca="false">MONTH(B15)</f>
        <v>1</v>
      </c>
      <c r="D15" s="23" t="s">
        <v>92</v>
      </c>
      <c r="E15" s="23" t="s">
        <v>105</v>
      </c>
      <c r="F15" s="23" t="s">
        <v>75</v>
      </c>
      <c r="G15" s="20" t="s">
        <v>101</v>
      </c>
      <c r="H15" s="24" t="s">
        <v>102</v>
      </c>
      <c r="I15" s="23" t="s">
        <v>89</v>
      </c>
      <c r="J15" s="25" t="n">
        <v>2118</v>
      </c>
      <c r="K15" s="26" t="n">
        <v>8</v>
      </c>
      <c r="L15" s="27" t="n">
        <f aca="false">J15*K15</f>
        <v>16944</v>
      </c>
      <c r="M15" s="25" t="n">
        <v>1318</v>
      </c>
      <c r="N15" s="27" t="n">
        <f aca="false">IF(M15="",L15*参数假设!$C$10,M15)*K15</f>
        <v>10544</v>
      </c>
      <c r="O15" s="27" t="n">
        <f aca="false">L15-N15</f>
        <v>6400</v>
      </c>
      <c r="P15" s="28" t="n">
        <f aca="false">IF(L15=0,0,O15/L15)</f>
        <v>0.377714825306893</v>
      </c>
    </row>
    <row r="16" customFormat="false" ht="15" hidden="false" customHeight="false" outlineLevel="0" collapsed="false">
      <c r="A16" s="29" t="s">
        <v>106</v>
      </c>
      <c r="B16" s="30" t="n">
        <f aca="false">DATE(参数假设!$C$6,1,21)</f>
        <v>45678</v>
      </c>
      <c r="C16" s="31" t="n">
        <f aca="false">MONTH(B16)</f>
        <v>1</v>
      </c>
      <c r="D16" s="32" t="s">
        <v>73</v>
      </c>
      <c r="E16" s="32" t="s">
        <v>86</v>
      </c>
      <c r="F16" s="32" t="s">
        <v>61</v>
      </c>
      <c r="G16" s="29" t="s">
        <v>101</v>
      </c>
      <c r="H16" s="33" t="s">
        <v>102</v>
      </c>
      <c r="I16" s="32" t="s">
        <v>89</v>
      </c>
      <c r="J16" s="34" t="n">
        <v>2079</v>
      </c>
      <c r="K16" s="35" t="n">
        <v>15</v>
      </c>
      <c r="L16" s="27" t="n">
        <f aca="false">J16*K16</f>
        <v>31185</v>
      </c>
      <c r="M16" s="34" t="n">
        <v>1321</v>
      </c>
      <c r="N16" s="27" t="n">
        <f aca="false">IF(M16="",L16*参数假设!$C$10,M16)*K16</f>
        <v>19815</v>
      </c>
      <c r="O16" s="27" t="n">
        <f aca="false">L16-N16</f>
        <v>11370</v>
      </c>
      <c r="P16" s="28" t="n">
        <f aca="false">IF(L16=0,0,O16/L16)</f>
        <v>0.364598364598365</v>
      </c>
    </row>
    <row r="17" customFormat="false" ht="15" hidden="false" customHeight="false" outlineLevel="0" collapsed="false">
      <c r="A17" s="20" t="s">
        <v>107</v>
      </c>
      <c r="B17" s="21" t="n">
        <f aca="false">DATE(参数假设!$C$6,1,26)</f>
        <v>45683</v>
      </c>
      <c r="C17" s="22" t="n">
        <f aca="false">MONTH(B17)</f>
        <v>1</v>
      </c>
      <c r="D17" s="23" t="s">
        <v>92</v>
      </c>
      <c r="E17" s="23" t="s">
        <v>93</v>
      </c>
      <c r="F17" s="23" t="s">
        <v>82</v>
      </c>
      <c r="G17" s="20" t="s">
        <v>76</v>
      </c>
      <c r="H17" s="24" t="s">
        <v>77</v>
      </c>
      <c r="I17" s="23" t="s">
        <v>78</v>
      </c>
      <c r="J17" s="25" t="n">
        <v>504</v>
      </c>
      <c r="K17" s="26" t="n">
        <v>2</v>
      </c>
      <c r="L17" s="27" t="n">
        <f aca="false">J17*K17</f>
        <v>1008</v>
      </c>
      <c r="M17" s="25" t="n">
        <v>294</v>
      </c>
      <c r="N17" s="27" t="n">
        <f aca="false">IF(M17="",L17*参数假设!$C$10,M17)*K17</f>
        <v>588</v>
      </c>
      <c r="O17" s="27" t="n">
        <f aca="false">L17-N17</f>
        <v>420</v>
      </c>
      <c r="P17" s="28" t="n">
        <f aca="false">IF(L17=0,0,O17/L17)</f>
        <v>0.416666666666667</v>
      </c>
    </row>
    <row r="18" customFormat="false" ht="15" hidden="false" customHeight="false" outlineLevel="0" collapsed="false">
      <c r="A18" s="29" t="s">
        <v>108</v>
      </c>
      <c r="B18" s="30" t="n">
        <f aca="false">DATE(参数假设!$C$6,1,26)</f>
        <v>45683</v>
      </c>
      <c r="C18" s="31" t="n">
        <f aca="false">MONTH(B18)</f>
        <v>1</v>
      </c>
      <c r="D18" s="32" t="s">
        <v>80</v>
      </c>
      <c r="E18" s="32" t="s">
        <v>81</v>
      </c>
      <c r="F18" s="32" t="s">
        <v>82</v>
      </c>
      <c r="G18" s="29" t="s">
        <v>109</v>
      </c>
      <c r="H18" s="33" t="s">
        <v>110</v>
      </c>
      <c r="I18" s="32" t="s">
        <v>97</v>
      </c>
      <c r="J18" s="34" t="n">
        <v>1194</v>
      </c>
      <c r="K18" s="35" t="n">
        <v>18</v>
      </c>
      <c r="L18" s="27" t="n">
        <f aca="false">J18*K18</f>
        <v>21492</v>
      </c>
      <c r="M18" s="34" t="n">
        <v>306</v>
      </c>
      <c r="N18" s="27" t="n">
        <f aca="false">IF(M18="",L18*参数假设!$C$10,M18)*K18</f>
        <v>5508</v>
      </c>
      <c r="O18" s="27" t="n">
        <f aca="false">L18-N18</f>
        <v>15984</v>
      </c>
      <c r="P18" s="28" t="n">
        <f aca="false">IF(L18=0,0,O18/L18)</f>
        <v>0.743718592964824</v>
      </c>
    </row>
    <row r="19" customFormat="false" ht="15" hidden="false" customHeight="false" outlineLevel="0" collapsed="false">
      <c r="A19" s="20" t="s">
        <v>111</v>
      </c>
      <c r="B19" s="21" t="n">
        <f aca="false">DATE(参数假设!$C$6,1,27)</f>
        <v>45684</v>
      </c>
      <c r="C19" s="22" t="n">
        <f aca="false">MONTH(B19)</f>
        <v>1</v>
      </c>
      <c r="D19" s="23" t="s">
        <v>99</v>
      </c>
      <c r="E19" s="23" t="s">
        <v>100</v>
      </c>
      <c r="F19" s="23" t="s">
        <v>61</v>
      </c>
      <c r="G19" s="20" t="s">
        <v>109</v>
      </c>
      <c r="H19" s="24" t="s">
        <v>110</v>
      </c>
      <c r="I19" s="23" t="s">
        <v>97</v>
      </c>
      <c r="J19" s="25" t="n">
        <v>1185</v>
      </c>
      <c r="K19" s="26" t="n">
        <v>3</v>
      </c>
      <c r="L19" s="27" t="n">
        <f aca="false">J19*K19</f>
        <v>3555</v>
      </c>
      <c r="M19" s="25" t="n">
        <v>292</v>
      </c>
      <c r="N19" s="27" t="n">
        <f aca="false">IF(M19="",L19*参数假设!$C$10,M19)*K19</f>
        <v>876</v>
      </c>
      <c r="O19" s="27" t="n">
        <f aca="false">L19-N19</f>
        <v>2679</v>
      </c>
      <c r="P19" s="28" t="n">
        <f aca="false">IF(L19=0,0,O19/L19)</f>
        <v>0.753586497890295</v>
      </c>
    </row>
    <row r="20" customFormat="false" ht="15" hidden="false" customHeight="false" outlineLevel="0" collapsed="false">
      <c r="A20" s="29" t="s">
        <v>112</v>
      </c>
      <c r="B20" s="30" t="n">
        <f aca="false">DATE(参数假设!$C$6,2,6)</f>
        <v>45694</v>
      </c>
      <c r="C20" s="31" t="n">
        <f aca="false">MONTH(B20)</f>
        <v>2</v>
      </c>
      <c r="D20" s="32" t="s">
        <v>99</v>
      </c>
      <c r="E20" s="32" t="s">
        <v>100</v>
      </c>
      <c r="F20" s="32" t="s">
        <v>82</v>
      </c>
      <c r="G20" s="29" t="s">
        <v>101</v>
      </c>
      <c r="H20" s="33" t="s">
        <v>102</v>
      </c>
      <c r="I20" s="32" t="s">
        <v>89</v>
      </c>
      <c r="J20" s="34" t="n">
        <v>1986</v>
      </c>
      <c r="K20" s="35" t="n">
        <v>14</v>
      </c>
      <c r="L20" s="27" t="n">
        <f aca="false">J20*K20</f>
        <v>27804</v>
      </c>
      <c r="M20" s="34" t="n">
        <v>1312</v>
      </c>
      <c r="N20" s="27" t="n">
        <f aca="false">IF(M20="",L20*参数假设!$C$10,M20)*K20</f>
        <v>18368</v>
      </c>
      <c r="O20" s="27" t="n">
        <f aca="false">L20-N20</f>
        <v>9436</v>
      </c>
      <c r="P20" s="28" t="n">
        <f aca="false">IF(L20=0,0,O20/L20)</f>
        <v>0.339375629405841</v>
      </c>
    </row>
    <row r="21" customFormat="false" ht="15" hidden="false" customHeight="false" outlineLevel="0" collapsed="false">
      <c r="A21" s="20" t="s">
        <v>113</v>
      </c>
      <c r="B21" s="21" t="n">
        <f aca="false">DATE(参数假设!$C$6,2,7)</f>
        <v>45695</v>
      </c>
      <c r="C21" s="22" t="n">
        <f aca="false">MONTH(B21)</f>
        <v>2</v>
      </c>
      <c r="D21" s="23" t="s">
        <v>73</v>
      </c>
      <c r="E21" s="23" t="s">
        <v>86</v>
      </c>
      <c r="F21" s="23" t="s">
        <v>75</v>
      </c>
      <c r="G21" s="20" t="s">
        <v>76</v>
      </c>
      <c r="H21" s="24" t="s">
        <v>77</v>
      </c>
      <c r="I21" s="23" t="s">
        <v>78</v>
      </c>
      <c r="J21" s="25" t="n">
        <v>504</v>
      </c>
      <c r="K21" s="26" t="n">
        <v>16</v>
      </c>
      <c r="L21" s="27" t="n">
        <f aca="false">J21*K21</f>
        <v>8064</v>
      </c>
      <c r="M21" s="25" t="n">
        <v>307</v>
      </c>
      <c r="N21" s="27" t="n">
        <f aca="false">IF(M21="",L21*参数假设!$C$10,M21)*K21</f>
        <v>4912</v>
      </c>
      <c r="O21" s="27" t="n">
        <f aca="false">L21-N21</f>
        <v>3152</v>
      </c>
      <c r="P21" s="28" t="n">
        <f aca="false">IF(L21=0,0,O21/L21)</f>
        <v>0.390873015873016</v>
      </c>
    </row>
    <row r="22" customFormat="false" ht="15" hidden="false" customHeight="false" outlineLevel="0" collapsed="false">
      <c r="A22" s="29" t="s">
        <v>114</v>
      </c>
      <c r="B22" s="30" t="n">
        <f aca="false">DATE(参数假设!$C$6,2,15)</f>
        <v>45703</v>
      </c>
      <c r="C22" s="31" t="n">
        <f aca="false">MONTH(B22)</f>
        <v>2</v>
      </c>
      <c r="D22" s="32" t="s">
        <v>80</v>
      </c>
      <c r="E22" s="32" t="s">
        <v>115</v>
      </c>
      <c r="F22" s="32" t="s">
        <v>82</v>
      </c>
      <c r="G22" s="29" t="s">
        <v>95</v>
      </c>
      <c r="H22" s="33" t="s">
        <v>96</v>
      </c>
      <c r="I22" s="32" t="s">
        <v>97</v>
      </c>
      <c r="J22" s="34" t="n">
        <v>3882</v>
      </c>
      <c r="K22" s="35" t="n">
        <v>3</v>
      </c>
      <c r="L22" s="27" t="n">
        <f aca="false">J22*K22</f>
        <v>11646</v>
      </c>
      <c r="M22" s="34" t="n">
        <v>929</v>
      </c>
      <c r="N22" s="27" t="n">
        <f aca="false">IF(M22="",L22*参数假设!$C$10,M22)*K22</f>
        <v>2787</v>
      </c>
      <c r="O22" s="27" t="n">
        <f aca="false">L22-N22</f>
        <v>8859</v>
      </c>
      <c r="P22" s="28" t="n">
        <f aca="false">IF(L22=0,0,O22/L22)</f>
        <v>0.76069036579083</v>
      </c>
    </row>
    <row r="23" customFormat="false" ht="15" hidden="false" customHeight="false" outlineLevel="0" collapsed="false">
      <c r="A23" s="20" t="s">
        <v>116</v>
      </c>
      <c r="B23" s="21" t="n">
        <f aca="false">DATE(参数假设!$C$6,2,17)</f>
        <v>45705</v>
      </c>
      <c r="C23" s="22" t="n">
        <f aca="false">MONTH(B23)</f>
        <v>2</v>
      </c>
      <c r="D23" s="23" t="s">
        <v>99</v>
      </c>
      <c r="E23" s="23" t="s">
        <v>100</v>
      </c>
      <c r="F23" s="23" t="s">
        <v>82</v>
      </c>
      <c r="G23" s="20" t="s">
        <v>109</v>
      </c>
      <c r="H23" s="24" t="s">
        <v>110</v>
      </c>
      <c r="I23" s="23" t="s">
        <v>97</v>
      </c>
      <c r="J23" s="25" t="n">
        <v>1234</v>
      </c>
      <c r="K23" s="26" t="n">
        <v>11</v>
      </c>
      <c r="L23" s="27" t="n">
        <f aca="false">J23*K23</f>
        <v>13574</v>
      </c>
      <c r="M23" s="25" t="n">
        <v>293</v>
      </c>
      <c r="N23" s="27" t="n">
        <f aca="false">IF(M23="",L23*参数假设!$C$10,M23)*K23</f>
        <v>3223</v>
      </c>
      <c r="O23" s="27" t="n">
        <f aca="false">L23-N23</f>
        <v>10351</v>
      </c>
      <c r="P23" s="28" t="n">
        <f aca="false">IF(L23=0,0,O23/L23)</f>
        <v>0.762560777957861</v>
      </c>
    </row>
    <row r="24" customFormat="false" ht="15" hidden="false" customHeight="false" outlineLevel="0" collapsed="false">
      <c r="A24" s="29" t="s">
        <v>117</v>
      </c>
      <c r="B24" s="30" t="n">
        <f aca="false">DATE(参数假设!$C$6,2,17)</f>
        <v>45705</v>
      </c>
      <c r="C24" s="31" t="n">
        <f aca="false">MONTH(B24)</f>
        <v>2</v>
      </c>
      <c r="D24" s="32" t="s">
        <v>99</v>
      </c>
      <c r="E24" s="32" t="s">
        <v>118</v>
      </c>
      <c r="F24" s="32" t="s">
        <v>61</v>
      </c>
      <c r="G24" s="29" t="s">
        <v>101</v>
      </c>
      <c r="H24" s="33" t="s">
        <v>102</v>
      </c>
      <c r="I24" s="32" t="s">
        <v>89</v>
      </c>
      <c r="J24" s="34" t="n">
        <v>2088</v>
      </c>
      <c r="K24" s="35" t="n">
        <v>17</v>
      </c>
      <c r="L24" s="27" t="n">
        <f aca="false">J24*K24</f>
        <v>35496</v>
      </c>
      <c r="M24" s="34" t="n">
        <v>1294</v>
      </c>
      <c r="N24" s="27" t="n">
        <f aca="false">IF(M24="",L24*参数假设!$C$10,M24)*K24</f>
        <v>21998</v>
      </c>
      <c r="O24" s="27" t="n">
        <f aca="false">L24-N24</f>
        <v>13498</v>
      </c>
      <c r="P24" s="28" t="n">
        <f aca="false">IF(L24=0,0,O24/L24)</f>
        <v>0.380268199233716</v>
      </c>
    </row>
    <row r="25" customFormat="false" ht="15" hidden="false" customHeight="false" outlineLevel="0" collapsed="false">
      <c r="A25" s="20" t="s">
        <v>119</v>
      </c>
      <c r="B25" s="21" t="n">
        <f aca="false">DATE(参数假设!$C$6,2,19)</f>
        <v>45707</v>
      </c>
      <c r="C25" s="22" t="n">
        <f aca="false">MONTH(B25)</f>
        <v>2</v>
      </c>
      <c r="D25" s="23" t="s">
        <v>99</v>
      </c>
      <c r="E25" s="23" t="s">
        <v>100</v>
      </c>
      <c r="F25" s="23" t="s">
        <v>61</v>
      </c>
      <c r="G25" s="20" t="s">
        <v>83</v>
      </c>
      <c r="H25" s="24" t="s">
        <v>84</v>
      </c>
      <c r="I25" s="23" t="s">
        <v>78</v>
      </c>
      <c r="J25" s="25" t="n">
        <v>800</v>
      </c>
      <c r="K25" s="26" t="n">
        <v>20</v>
      </c>
      <c r="L25" s="27" t="n">
        <f aca="false">J25*K25</f>
        <v>16000</v>
      </c>
      <c r="M25" s="25" t="n">
        <v>482</v>
      </c>
      <c r="N25" s="27" t="n">
        <f aca="false">IF(M25="",L25*参数假设!$C$10,M25)*K25</f>
        <v>9640</v>
      </c>
      <c r="O25" s="27" t="n">
        <f aca="false">L25-N25</f>
        <v>6360</v>
      </c>
      <c r="P25" s="28" t="n">
        <f aca="false">IF(L25=0,0,O25/L25)</f>
        <v>0.3975</v>
      </c>
    </row>
    <row r="26" customFormat="false" ht="15" hidden="false" customHeight="false" outlineLevel="0" collapsed="false">
      <c r="A26" s="29" t="s">
        <v>120</v>
      </c>
      <c r="B26" s="30" t="n">
        <f aca="false">DATE(参数假设!$C$6,2,21)</f>
        <v>45709</v>
      </c>
      <c r="C26" s="31" t="n">
        <f aca="false">MONTH(B26)</f>
        <v>2</v>
      </c>
      <c r="D26" s="32" t="s">
        <v>92</v>
      </c>
      <c r="E26" s="32" t="s">
        <v>105</v>
      </c>
      <c r="F26" s="32" t="s">
        <v>61</v>
      </c>
      <c r="G26" s="29" t="s">
        <v>76</v>
      </c>
      <c r="H26" s="33" t="s">
        <v>77</v>
      </c>
      <c r="I26" s="32" t="s">
        <v>78</v>
      </c>
      <c r="J26" s="34" t="n">
        <v>470</v>
      </c>
      <c r="K26" s="35" t="n">
        <v>8</v>
      </c>
      <c r="L26" s="27" t="n">
        <f aca="false">J26*K26</f>
        <v>3760</v>
      </c>
      <c r="M26" s="34" t="n">
        <v>296</v>
      </c>
      <c r="N26" s="27" t="n">
        <f aca="false">IF(M26="",L26*参数假设!$C$10,M26)*K26</f>
        <v>2368</v>
      </c>
      <c r="O26" s="27" t="n">
        <f aca="false">L26-N26</f>
        <v>1392</v>
      </c>
      <c r="P26" s="28" t="n">
        <f aca="false">IF(L26=0,0,O26/L26)</f>
        <v>0.370212765957447</v>
      </c>
    </row>
    <row r="27" customFormat="false" ht="15" hidden="false" customHeight="false" outlineLevel="0" collapsed="false">
      <c r="A27" s="20" t="s">
        <v>121</v>
      </c>
      <c r="B27" s="21" t="n">
        <f aca="false">DATE(参数假设!$C$6,2,24)</f>
        <v>45712</v>
      </c>
      <c r="C27" s="22" t="n">
        <f aca="false">MONTH(B27)</f>
        <v>2</v>
      </c>
      <c r="D27" s="23" t="s">
        <v>80</v>
      </c>
      <c r="E27" s="23" t="s">
        <v>115</v>
      </c>
      <c r="F27" s="23" t="s">
        <v>75</v>
      </c>
      <c r="G27" s="20" t="s">
        <v>87</v>
      </c>
      <c r="H27" s="24" t="s">
        <v>88</v>
      </c>
      <c r="I27" s="23" t="s">
        <v>89</v>
      </c>
      <c r="J27" s="25" t="n">
        <v>5340</v>
      </c>
      <c r="K27" s="26" t="n">
        <v>2</v>
      </c>
      <c r="L27" s="27" t="n">
        <f aca="false">J27*K27</f>
        <v>10680</v>
      </c>
      <c r="M27" s="25" t="n">
        <v>3273</v>
      </c>
      <c r="N27" s="27" t="n">
        <f aca="false">IF(M27="",L27*参数假设!$C$10,M27)*K27</f>
        <v>6546</v>
      </c>
      <c r="O27" s="27" t="n">
        <f aca="false">L27-N27</f>
        <v>4134</v>
      </c>
      <c r="P27" s="28" t="n">
        <f aca="false">IF(L27=0,0,O27/L27)</f>
        <v>0.387078651685393</v>
      </c>
    </row>
    <row r="28" customFormat="false" ht="15" hidden="false" customHeight="false" outlineLevel="0" collapsed="false">
      <c r="A28" s="29" t="s">
        <v>122</v>
      </c>
      <c r="B28" s="30" t="n">
        <f aca="false">DATE(参数假设!$C$6,2,28)</f>
        <v>45716</v>
      </c>
      <c r="C28" s="31" t="n">
        <f aca="false">MONTH(B28)</f>
        <v>2</v>
      </c>
      <c r="D28" s="32" t="s">
        <v>73</v>
      </c>
      <c r="E28" s="32" t="s">
        <v>86</v>
      </c>
      <c r="F28" s="32" t="s">
        <v>61</v>
      </c>
      <c r="G28" s="29" t="s">
        <v>101</v>
      </c>
      <c r="H28" s="33" t="s">
        <v>102</v>
      </c>
      <c r="I28" s="32" t="s">
        <v>89</v>
      </c>
      <c r="J28" s="34" t="n">
        <v>1986</v>
      </c>
      <c r="K28" s="35" t="n">
        <v>15</v>
      </c>
      <c r="L28" s="27" t="n">
        <f aca="false">J28*K28</f>
        <v>29790</v>
      </c>
      <c r="M28" s="34" t="n">
        <v>1372</v>
      </c>
      <c r="N28" s="27" t="n">
        <f aca="false">IF(M28="",L28*参数假设!$C$10,M28)*K28</f>
        <v>20580</v>
      </c>
      <c r="O28" s="27" t="n">
        <f aca="false">L28-N28</f>
        <v>9210</v>
      </c>
      <c r="P28" s="28" t="n">
        <f aca="false">IF(L28=0,0,O28/L28)</f>
        <v>0.309164149043303</v>
      </c>
    </row>
    <row r="29" customFormat="false" ht="15" hidden="false" customHeight="false" outlineLevel="0" collapsed="false">
      <c r="A29" s="20" t="s">
        <v>123</v>
      </c>
      <c r="B29" s="21" t="n">
        <f aca="false">DATE(参数假设!$C$6,2,28)</f>
        <v>45716</v>
      </c>
      <c r="C29" s="22" t="n">
        <f aca="false">MONTH(B29)</f>
        <v>2</v>
      </c>
      <c r="D29" s="23" t="s">
        <v>92</v>
      </c>
      <c r="E29" s="23" t="s">
        <v>93</v>
      </c>
      <c r="F29" s="23" t="s">
        <v>82</v>
      </c>
      <c r="G29" s="20" t="s">
        <v>87</v>
      </c>
      <c r="H29" s="24" t="s">
        <v>88</v>
      </c>
      <c r="I29" s="23" t="s">
        <v>89</v>
      </c>
      <c r="J29" s="25" t="n">
        <v>4920</v>
      </c>
      <c r="K29" s="26" t="n">
        <v>10</v>
      </c>
      <c r="L29" s="27" t="n">
        <f aca="false">J29*K29</f>
        <v>49200</v>
      </c>
      <c r="M29" s="25" t="n">
        <v>3268</v>
      </c>
      <c r="N29" s="27" t="n">
        <f aca="false">IF(M29="",L29*参数假设!$C$10,M29)*K29</f>
        <v>32680</v>
      </c>
      <c r="O29" s="27" t="n">
        <f aca="false">L29-N29</f>
        <v>16520</v>
      </c>
      <c r="P29" s="28" t="n">
        <f aca="false">IF(L29=0,0,O29/L29)</f>
        <v>0.335772357723577</v>
      </c>
    </row>
    <row r="30" customFormat="false" ht="15" hidden="false" customHeight="false" outlineLevel="0" collapsed="false">
      <c r="A30" s="29" t="s">
        <v>124</v>
      </c>
      <c r="B30" s="30" t="n">
        <f aca="false">DATE(参数假设!$C$6,3,1)</f>
        <v>45717</v>
      </c>
      <c r="C30" s="31" t="n">
        <f aca="false">MONTH(B30)</f>
        <v>3</v>
      </c>
      <c r="D30" s="32" t="s">
        <v>92</v>
      </c>
      <c r="E30" s="32" t="s">
        <v>105</v>
      </c>
      <c r="F30" s="32" t="s">
        <v>82</v>
      </c>
      <c r="G30" s="29" t="s">
        <v>109</v>
      </c>
      <c r="H30" s="33" t="s">
        <v>110</v>
      </c>
      <c r="I30" s="32" t="s">
        <v>97</v>
      </c>
      <c r="J30" s="34" t="n">
        <v>1192</v>
      </c>
      <c r="K30" s="35" t="n">
        <v>12</v>
      </c>
      <c r="L30" s="27" t="n">
        <f aca="false">J30*K30</f>
        <v>14304</v>
      </c>
      <c r="M30" s="34" t="n">
        <v>310</v>
      </c>
      <c r="N30" s="27" t="n">
        <f aca="false">IF(M30="",L30*参数假设!$C$10,M30)*K30</f>
        <v>3720</v>
      </c>
      <c r="O30" s="27" t="n">
        <f aca="false">L30-N30</f>
        <v>10584</v>
      </c>
      <c r="P30" s="28" t="n">
        <f aca="false">IF(L30=0,0,O30/L30)</f>
        <v>0.73993288590604</v>
      </c>
    </row>
    <row r="31" customFormat="false" ht="15" hidden="false" customHeight="false" outlineLevel="0" collapsed="false">
      <c r="A31" s="20" t="s">
        <v>125</v>
      </c>
      <c r="B31" s="21" t="n">
        <f aca="false">DATE(参数假设!$C$6,3,1)</f>
        <v>45717</v>
      </c>
      <c r="C31" s="22" t="n">
        <f aca="false">MONTH(B31)</f>
        <v>3</v>
      </c>
      <c r="D31" s="23" t="s">
        <v>73</v>
      </c>
      <c r="E31" s="23" t="s">
        <v>86</v>
      </c>
      <c r="F31" s="23" t="s">
        <v>82</v>
      </c>
      <c r="G31" s="20" t="s">
        <v>83</v>
      </c>
      <c r="H31" s="24" t="s">
        <v>84</v>
      </c>
      <c r="I31" s="23" t="s">
        <v>78</v>
      </c>
      <c r="J31" s="25" t="n">
        <v>756</v>
      </c>
      <c r="K31" s="26" t="n">
        <v>10</v>
      </c>
      <c r="L31" s="27" t="n">
        <f aca="false">J31*K31</f>
        <v>7560</v>
      </c>
      <c r="M31" s="25" t="n">
        <v>482</v>
      </c>
      <c r="N31" s="27" t="n">
        <f aca="false">IF(M31="",L31*参数假设!$C$10,M31)*K31</f>
        <v>4820</v>
      </c>
      <c r="O31" s="27" t="n">
        <f aca="false">L31-N31</f>
        <v>2740</v>
      </c>
      <c r="P31" s="28" t="n">
        <f aca="false">IF(L31=0,0,O31/L31)</f>
        <v>0.362433862433862</v>
      </c>
    </row>
    <row r="32" customFormat="false" ht="15" hidden="false" customHeight="false" outlineLevel="0" collapsed="false">
      <c r="A32" s="29" t="s">
        <v>126</v>
      </c>
      <c r="B32" s="30" t="n">
        <f aca="false">DATE(参数假设!$C$6,3,2)</f>
        <v>45718</v>
      </c>
      <c r="C32" s="31" t="n">
        <f aca="false">MONTH(B32)</f>
        <v>3</v>
      </c>
      <c r="D32" s="32" t="s">
        <v>99</v>
      </c>
      <c r="E32" s="32" t="s">
        <v>118</v>
      </c>
      <c r="F32" s="32" t="s">
        <v>75</v>
      </c>
      <c r="G32" s="29" t="s">
        <v>95</v>
      </c>
      <c r="H32" s="33" t="s">
        <v>96</v>
      </c>
      <c r="I32" s="32" t="s">
        <v>97</v>
      </c>
      <c r="J32" s="34" t="n">
        <v>3806</v>
      </c>
      <c r="K32" s="35" t="n">
        <v>8</v>
      </c>
      <c r="L32" s="27" t="n">
        <f aca="false">J32*K32</f>
        <v>30448</v>
      </c>
      <c r="M32" s="34" t="n">
        <v>895</v>
      </c>
      <c r="N32" s="27" t="n">
        <f aca="false">IF(M32="",L32*参数假设!$C$10,M32)*K32</f>
        <v>7160</v>
      </c>
      <c r="O32" s="27" t="n">
        <f aca="false">L32-N32</f>
        <v>23288</v>
      </c>
      <c r="P32" s="28" t="n">
        <f aca="false">IF(L32=0,0,O32/L32)</f>
        <v>0.764844981607987</v>
      </c>
    </row>
    <row r="33" customFormat="false" ht="15" hidden="false" customHeight="false" outlineLevel="0" collapsed="false">
      <c r="A33" s="20" t="s">
        <v>127</v>
      </c>
      <c r="B33" s="21" t="n">
        <f aca="false">DATE(参数假设!$C$6,3,14)</f>
        <v>45730</v>
      </c>
      <c r="C33" s="22" t="n">
        <f aca="false">MONTH(B33)</f>
        <v>3</v>
      </c>
      <c r="D33" s="23" t="s">
        <v>73</v>
      </c>
      <c r="E33" s="23" t="s">
        <v>86</v>
      </c>
      <c r="F33" s="23" t="s">
        <v>82</v>
      </c>
      <c r="G33" s="20" t="s">
        <v>95</v>
      </c>
      <c r="H33" s="24" t="s">
        <v>96</v>
      </c>
      <c r="I33" s="23" t="s">
        <v>97</v>
      </c>
      <c r="J33" s="25" t="n">
        <v>3514</v>
      </c>
      <c r="K33" s="26" t="n">
        <v>12</v>
      </c>
      <c r="L33" s="27" t="n">
        <f aca="false">J33*K33</f>
        <v>42168</v>
      </c>
      <c r="M33" s="25" t="n">
        <v>952</v>
      </c>
      <c r="N33" s="27" t="n">
        <f aca="false">IF(M33="",L33*参数假设!$C$10,M33)*K33</f>
        <v>11424</v>
      </c>
      <c r="O33" s="27" t="n">
        <f aca="false">L33-N33</f>
        <v>30744</v>
      </c>
      <c r="P33" s="28" t="n">
        <f aca="false">IF(L33=0,0,O33/L33)</f>
        <v>0.729083665338645</v>
      </c>
    </row>
    <row r="34" customFormat="false" ht="15" hidden="false" customHeight="false" outlineLevel="0" collapsed="false">
      <c r="A34" s="29" t="s">
        <v>128</v>
      </c>
      <c r="B34" s="30" t="n">
        <f aca="false">DATE(参数假设!$C$6,3,14)</f>
        <v>45730</v>
      </c>
      <c r="C34" s="31" t="n">
        <f aca="false">MONTH(B34)</f>
        <v>3</v>
      </c>
      <c r="D34" s="32" t="s">
        <v>80</v>
      </c>
      <c r="E34" s="32" t="s">
        <v>81</v>
      </c>
      <c r="F34" s="32" t="s">
        <v>82</v>
      </c>
      <c r="G34" s="29" t="s">
        <v>87</v>
      </c>
      <c r="H34" s="33" t="s">
        <v>88</v>
      </c>
      <c r="I34" s="32" t="s">
        <v>89</v>
      </c>
      <c r="J34" s="34" t="n">
        <v>5195</v>
      </c>
      <c r="K34" s="35" t="n">
        <v>13</v>
      </c>
      <c r="L34" s="27" t="n">
        <f aca="false">J34*K34</f>
        <v>67535</v>
      </c>
      <c r="M34" s="34" t="n">
        <v>3148</v>
      </c>
      <c r="N34" s="27" t="n">
        <f aca="false">IF(M34="",L34*参数假设!$C$10,M34)*K34</f>
        <v>40924</v>
      </c>
      <c r="O34" s="27" t="n">
        <f aca="false">L34-N34</f>
        <v>26611</v>
      </c>
      <c r="P34" s="28" t="n">
        <f aca="false">IF(L34=0,0,O34/L34)</f>
        <v>0.394032723772859</v>
      </c>
    </row>
    <row r="35" customFormat="false" ht="15" hidden="false" customHeight="false" outlineLevel="0" collapsed="false">
      <c r="A35" s="20" t="s">
        <v>129</v>
      </c>
      <c r="B35" s="21" t="n">
        <f aca="false">DATE(参数假设!$C$6,3,18)</f>
        <v>45734</v>
      </c>
      <c r="C35" s="22" t="n">
        <f aca="false">MONTH(B35)</f>
        <v>3</v>
      </c>
      <c r="D35" s="23" t="s">
        <v>80</v>
      </c>
      <c r="E35" s="23" t="s">
        <v>81</v>
      </c>
      <c r="F35" s="23" t="s">
        <v>82</v>
      </c>
      <c r="G35" s="20" t="s">
        <v>76</v>
      </c>
      <c r="H35" s="24" t="s">
        <v>77</v>
      </c>
      <c r="I35" s="23" t="s">
        <v>78</v>
      </c>
      <c r="J35" s="25" t="n">
        <v>512</v>
      </c>
      <c r="K35" s="26" t="n">
        <v>33</v>
      </c>
      <c r="L35" s="27" t="n">
        <f aca="false">J35*K35</f>
        <v>16896</v>
      </c>
      <c r="M35" s="25" t="n">
        <v>300</v>
      </c>
      <c r="N35" s="27" t="n">
        <f aca="false">IF(M35="",L35*参数假设!$C$10,M35)*K35</f>
        <v>9900</v>
      </c>
      <c r="O35" s="27" t="n">
        <f aca="false">L35-N35</f>
        <v>6996</v>
      </c>
      <c r="P35" s="28" t="n">
        <f aca="false">IF(L35=0,0,O35/L35)</f>
        <v>0.4140625</v>
      </c>
    </row>
    <row r="36" customFormat="false" ht="15" hidden="false" customHeight="false" outlineLevel="0" collapsed="false">
      <c r="A36" s="29" t="s">
        <v>130</v>
      </c>
      <c r="B36" s="30" t="n">
        <f aca="false">DATE(参数假设!$C$6,3,18)</f>
        <v>45734</v>
      </c>
      <c r="C36" s="31" t="n">
        <f aca="false">MONTH(B36)</f>
        <v>3</v>
      </c>
      <c r="D36" s="32" t="s">
        <v>80</v>
      </c>
      <c r="E36" s="32" t="s">
        <v>115</v>
      </c>
      <c r="F36" s="32" t="s">
        <v>82</v>
      </c>
      <c r="G36" s="29" t="s">
        <v>109</v>
      </c>
      <c r="H36" s="33" t="s">
        <v>110</v>
      </c>
      <c r="I36" s="32" t="s">
        <v>97</v>
      </c>
      <c r="J36" s="34" t="n">
        <v>1166</v>
      </c>
      <c r="K36" s="35" t="n">
        <v>22</v>
      </c>
      <c r="L36" s="27" t="n">
        <f aca="false">J36*K36</f>
        <v>25652</v>
      </c>
      <c r="M36" s="34" t="n">
        <v>314</v>
      </c>
      <c r="N36" s="27" t="n">
        <f aca="false">IF(M36="",L36*参数假设!$C$10,M36)*K36</f>
        <v>6908</v>
      </c>
      <c r="O36" s="27" t="n">
        <f aca="false">L36-N36</f>
        <v>18744</v>
      </c>
      <c r="P36" s="28" t="n">
        <f aca="false">IF(L36=0,0,O36/L36)</f>
        <v>0.730703259005146</v>
      </c>
    </row>
    <row r="37" customFormat="false" ht="15" hidden="false" customHeight="false" outlineLevel="0" collapsed="false">
      <c r="A37" s="20" t="s">
        <v>131</v>
      </c>
      <c r="B37" s="21" t="n">
        <f aca="false">DATE(参数假设!$C$6,3,19)</f>
        <v>45735</v>
      </c>
      <c r="C37" s="22" t="n">
        <f aca="false">MONTH(B37)</f>
        <v>3</v>
      </c>
      <c r="D37" s="23" t="s">
        <v>92</v>
      </c>
      <c r="E37" s="23" t="s">
        <v>105</v>
      </c>
      <c r="F37" s="23" t="s">
        <v>82</v>
      </c>
      <c r="G37" s="20" t="s">
        <v>95</v>
      </c>
      <c r="H37" s="24" t="s">
        <v>96</v>
      </c>
      <c r="I37" s="23" t="s">
        <v>97</v>
      </c>
      <c r="J37" s="25" t="n">
        <v>3772</v>
      </c>
      <c r="K37" s="26" t="n">
        <v>14</v>
      </c>
      <c r="L37" s="27" t="n">
        <f aca="false">J37*K37</f>
        <v>52808</v>
      </c>
      <c r="M37" s="25" t="n">
        <v>951</v>
      </c>
      <c r="N37" s="27" t="n">
        <f aca="false">IF(M37="",L37*参数假设!$C$10,M37)*K37</f>
        <v>13314</v>
      </c>
      <c r="O37" s="27" t="n">
        <f aca="false">L37-N37</f>
        <v>39494</v>
      </c>
      <c r="P37" s="28" t="n">
        <f aca="false">IF(L37=0,0,O37/L37)</f>
        <v>0.747879109225875</v>
      </c>
    </row>
    <row r="38" customFormat="false" ht="15" hidden="false" customHeight="false" outlineLevel="0" collapsed="false">
      <c r="A38" s="29" t="s">
        <v>132</v>
      </c>
      <c r="B38" s="30" t="n">
        <f aca="false">DATE(参数假设!$C$6,3,22)</f>
        <v>45738</v>
      </c>
      <c r="C38" s="31" t="n">
        <f aca="false">MONTH(B38)</f>
        <v>3</v>
      </c>
      <c r="D38" s="32" t="s">
        <v>80</v>
      </c>
      <c r="E38" s="32" t="s">
        <v>81</v>
      </c>
      <c r="F38" s="32" t="s">
        <v>82</v>
      </c>
      <c r="G38" s="29" t="s">
        <v>109</v>
      </c>
      <c r="H38" s="33" t="s">
        <v>110</v>
      </c>
      <c r="I38" s="32" t="s">
        <v>97</v>
      </c>
      <c r="J38" s="34" t="n">
        <v>1163</v>
      </c>
      <c r="K38" s="35" t="n">
        <v>24</v>
      </c>
      <c r="L38" s="27" t="n">
        <f aca="false">J38*K38</f>
        <v>27912</v>
      </c>
      <c r="M38" s="34" t="n">
        <v>295</v>
      </c>
      <c r="N38" s="27" t="n">
        <f aca="false">IF(M38="",L38*参数假设!$C$10,M38)*K38</f>
        <v>7080</v>
      </c>
      <c r="O38" s="27" t="n">
        <f aca="false">L38-N38</f>
        <v>20832</v>
      </c>
      <c r="P38" s="28" t="n">
        <f aca="false">IF(L38=0,0,O38/L38)</f>
        <v>0.746345657781599</v>
      </c>
    </row>
    <row r="39" customFormat="false" ht="15" hidden="false" customHeight="false" outlineLevel="0" collapsed="false">
      <c r="A39" s="20" t="s">
        <v>133</v>
      </c>
      <c r="B39" s="21" t="n">
        <f aca="false">DATE(参数假设!$C$6,3,24)</f>
        <v>45740</v>
      </c>
      <c r="C39" s="22" t="n">
        <f aca="false">MONTH(B39)</f>
        <v>3</v>
      </c>
      <c r="D39" s="23" t="s">
        <v>80</v>
      </c>
      <c r="E39" s="23" t="s">
        <v>115</v>
      </c>
      <c r="F39" s="23" t="s">
        <v>75</v>
      </c>
      <c r="G39" s="20" t="s">
        <v>87</v>
      </c>
      <c r="H39" s="24" t="s">
        <v>88</v>
      </c>
      <c r="I39" s="23" t="s">
        <v>89</v>
      </c>
      <c r="J39" s="25" t="n">
        <v>4916</v>
      </c>
      <c r="K39" s="26" t="n">
        <v>1</v>
      </c>
      <c r="L39" s="27" t="n">
        <f aca="false">J39*K39</f>
        <v>4916</v>
      </c>
      <c r="M39" s="25" t="n">
        <v>3074</v>
      </c>
      <c r="N39" s="27" t="n">
        <f aca="false">IF(M39="",L39*参数假设!$C$10,M39)*K39</f>
        <v>3074</v>
      </c>
      <c r="O39" s="27" t="n">
        <f aca="false">L39-N39</f>
        <v>1842</v>
      </c>
      <c r="P39" s="28" t="n">
        <f aca="false">IF(L39=0,0,O39/L39)</f>
        <v>0.374694873881204</v>
      </c>
    </row>
    <row r="40" customFormat="false" ht="15" hidden="false" customHeight="false" outlineLevel="0" collapsed="false">
      <c r="A40" s="29" t="s">
        <v>134</v>
      </c>
      <c r="B40" s="30" t="n">
        <f aca="false">DATE(参数假设!$C$6,3,27)</f>
        <v>45743</v>
      </c>
      <c r="C40" s="31" t="n">
        <f aca="false">MONTH(B40)</f>
        <v>3</v>
      </c>
      <c r="D40" s="32" t="s">
        <v>99</v>
      </c>
      <c r="E40" s="32" t="s">
        <v>100</v>
      </c>
      <c r="F40" s="32" t="s">
        <v>75</v>
      </c>
      <c r="G40" s="29" t="s">
        <v>101</v>
      </c>
      <c r="H40" s="33" t="s">
        <v>102</v>
      </c>
      <c r="I40" s="32" t="s">
        <v>89</v>
      </c>
      <c r="J40" s="34" t="n">
        <v>2063</v>
      </c>
      <c r="K40" s="35" t="n">
        <v>6</v>
      </c>
      <c r="L40" s="27" t="n">
        <f aca="false">J40*K40</f>
        <v>12378</v>
      </c>
      <c r="M40" s="34" t="n">
        <v>1253</v>
      </c>
      <c r="N40" s="27" t="n">
        <f aca="false">IF(M40="",L40*参数假设!$C$10,M40)*K40</f>
        <v>7518</v>
      </c>
      <c r="O40" s="27" t="n">
        <f aca="false">L40-N40</f>
        <v>4860</v>
      </c>
      <c r="P40" s="28" t="n">
        <f aca="false">IF(L40=0,0,O40/L40)</f>
        <v>0.392632089190499</v>
      </c>
    </row>
    <row r="41" customFormat="false" ht="15" hidden="false" customHeight="false" outlineLevel="0" collapsed="false">
      <c r="A41" s="20" t="s">
        <v>135</v>
      </c>
      <c r="B41" s="21" t="n">
        <f aca="false">DATE(参数假设!$C$6,4,3)</f>
        <v>45750</v>
      </c>
      <c r="C41" s="22" t="n">
        <f aca="false">MONTH(B41)</f>
        <v>4</v>
      </c>
      <c r="D41" s="23" t="s">
        <v>99</v>
      </c>
      <c r="E41" s="23" t="s">
        <v>100</v>
      </c>
      <c r="F41" s="23" t="s">
        <v>61</v>
      </c>
      <c r="G41" s="20" t="s">
        <v>109</v>
      </c>
      <c r="H41" s="24" t="s">
        <v>110</v>
      </c>
      <c r="I41" s="23" t="s">
        <v>97</v>
      </c>
      <c r="J41" s="25" t="n">
        <v>1268</v>
      </c>
      <c r="K41" s="26" t="n">
        <v>18</v>
      </c>
      <c r="L41" s="27" t="n">
        <f aca="false">J41*K41</f>
        <v>22824</v>
      </c>
      <c r="M41" s="25" t="n">
        <v>291</v>
      </c>
      <c r="N41" s="27" t="n">
        <f aca="false">IF(M41="",L41*参数假设!$C$10,M41)*K41</f>
        <v>5238</v>
      </c>
      <c r="O41" s="27" t="n">
        <f aca="false">L41-N41</f>
        <v>17586</v>
      </c>
      <c r="P41" s="28" t="n">
        <f aca="false">IF(L41=0,0,O41/L41)</f>
        <v>0.770504731861199</v>
      </c>
    </row>
    <row r="42" customFormat="false" ht="15" hidden="false" customHeight="false" outlineLevel="0" collapsed="false">
      <c r="A42" s="29" t="s">
        <v>136</v>
      </c>
      <c r="B42" s="30" t="n">
        <f aca="false">DATE(参数假设!$C$6,4,4)</f>
        <v>45751</v>
      </c>
      <c r="C42" s="31" t="n">
        <f aca="false">MONTH(B42)</f>
        <v>4</v>
      </c>
      <c r="D42" s="32" t="s">
        <v>73</v>
      </c>
      <c r="E42" s="32" t="s">
        <v>86</v>
      </c>
      <c r="F42" s="32" t="s">
        <v>61</v>
      </c>
      <c r="G42" s="29" t="s">
        <v>83</v>
      </c>
      <c r="H42" s="33" t="s">
        <v>84</v>
      </c>
      <c r="I42" s="32" t="s">
        <v>78</v>
      </c>
      <c r="J42" s="34" t="n">
        <v>725</v>
      </c>
      <c r="K42" s="35" t="n">
        <v>7</v>
      </c>
      <c r="L42" s="27" t="n">
        <f aca="false">J42*K42</f>
        <v>5075</v>
      </c>
      <c r="M42" s="34" t="n">
        <v>457</v>
      </c>
      <c r="N42" s="27" t="n">
        <f aca="false">IF(M42="",L42*参数假设!$C$10,M42)*K42</f>
        <v>3199</v>
      </c>
      <c r="O42" s="27" t="n">
        <f aca="false">L42-N42</f>
        <v>1876</v>
      </c>
      <c r="P42" s="28" t="n">
        <f aca="false">IF(L42=0,0,O42/L42)</f>
        <v>0.369655172413793</v>
      </c>
    </row>
    <row r="43" customFormat="false" ht="15" hidden="false" customHeight="false" outlineLevel="0" collapsed="false">
      <c r="A43" s="20" t="s">
        <v>137</v>
      </c>
      <c r="B43" s="21" t="n">
        <f aca="false">DATE(参数假设!$C$6,4,5)</f>
        <v>45752</v>
      </c>
      <c r="C43" s="22" t="n">
        <f aca="false">MONTH(B43)</f>
        <v>4</v>
      </c>
      <c r="D43" s="23" t="s">
        <v>92</v>
      </c>
      <c r="E43" s="23" t="s">
        <v>93</v>
      </c>
      <c r="F43" s="23" t="s">
        <v>82</v>
      </c>
      <c r="G43" s="20" t="s">
        <v>83</v>
      </c>
      <c r="H43" s="24" t="s">
        <v>84</v>
      </c>
      <c r="I43" s="23" t="s">
        <v>78</v>
      </c>
      <c r="J43" s="25" t="n">
        <v>737</v>
      </c>
      <c r="K43" s="26" t="n">
        <v>24</v>
      </c>
      <c r="L43" s="27" t="n">
        <f aca="false">J43*K43</f>
        <v>17688</v>
      </c>
      <c r="M43" s="25" t="n">
        <v>480</v>
      </c>
      <c r="N43" s="27" t="n">
        <f aca="false">IF(M43="",L43*参数假设!$C$10,M43)*K43</f>
        <v>11520</v>
      </c>
      <c r="O43" s="27" t="n">
        <f aca="false">L43-N43</f>
        <v>6168</v>
      </c>
      <c r="P43" s="28" t="n">
        <f aca="false">IF(L43=0,0,O43/L43)</f>
        <v>0.348710990502035</v>
      </c>
    </row>
    <row r="44" customFormat="false" ht="15" hidden="false" customHeight="false" outlineLevel="0" collapsed="false">
      <c r="A44" s="29" t="s">
        <v>138</v>
      </c>
      <c r="B44" s="30" t="n">
        <f aca="false">DATE(参数假设!$C$6,4,6)</f>
        <v>45753</v>
      </c>
      <c r="C44" s="31" t="n">
        <f aca="false">MONTH(B44)</f>
        <v>4</v>
      </c>
      <c r="D44" s="32" t="s">
        <v>99</v>
      </c>
      <c r="E44" s="32" t="s">
        <v>100</v>
      </c>
      <c r="F44" s="32" t="s">
        <v>82</v>
      </c>
      <c r="G44" s="29" t="s">
        <v>109</v>
      </c>
      <c r="H44" s="33" t="s">
        <v>110</v>
      </c>
      <c r="I44" s="32" t="s">
        <v>97</v>
      </c>
      <c r="J44" s="34" t="n">
        <v>1188</v>
      </c>
      <c r="K44" s="35" t="n">
        <v>21</v>
      </c>
      <c r="L44" s="27" t="n">
        <f aca="false">J44*K44</f>
        <v>24948</v>
      </c>
      <c r="M44" s="34" t="n">
        <v>302</v>
      </c>
      <c r="N44" s="27" t="n">
        <f aca="false">IF(M44="",L44*参数假设!$C$10,M44)*K44</f>
        <v>6342</v>
      </c>
      <c r="O44" s="27" t="n">
        <f aca="false">L44-N44</f>
        <v>18606</v>
      </c>
      <c r="P44" s="28" t="n">
        <f aca="false">IF(L44=0,0,O44/L44)</f>
        <v>0.745791245791246</v>
      </c>
    </row>
    <row r="45" customFormat="false" ht="15" hidden="false" customHeight="false" outlineLevel="0" collapsed="false">
      <c r="A45" s="20" t="s">
        <v>139</v>
      </c>
      <c r="B45" s="21" t="n">
        <f aca="false">DATE(参数假设!$C$6,4,7)</f>
        <v>45754</v>
      </c>
      <c r="C45" s="22" t="n">
        <f aca="false">MONTH(B45)</f>
        <v>4</v>
      </c>
      <c r="D45" s="23" t="s">
        <v>73</v>
      </c>
      <c r="E45" s="23" t="s">
        <v>86</v>
      </c>
      <c r="F45" s="23" t="s">
        <v>61</v>
      </c>
      <c r="G45" s="20" t="s">
        <v>109</v>
      </c>
      <c r="H45" s="24" t="s">
        <v>110</v>
      </c>
      <c r="I45" s="23" t="s">
        <v>97</v>
      </c>
      <c r="J45" s="25" t="n">
        <v>1140</v>
      </c>
      <c r="K45" s="26" t="n">
        <v>25</v>
      </c>
      <c r="L45" s="27" t="n">
        <f aca="false">J45*K45</f>
        <v>28500</v>
      </c>
      <c r="M45" s="25" t="n">
        <v>292</v>
      </c>
      <c r="N45" s="27" t="n">
        <f aca="false">IF(M45="",L45*参数假设!$C$10,M45)*K45</f>
        <v>7300</v>
      </c>
      <c r="O45" s="27" t="n">
        <f aca="false">L45-N45</f>
        <v>21200</v>
      </c>
      <c r="P45" s="28" t="n">
        <f aca="false">IF(L45=0,0,O45/L45)</f>
        <v>0.743859649122807</v>
      </c>
    </row>
    <row r="46" customFormat="false" ht="15" hidden="false" customHeight="false" outlineLevel="0" collapsed="false">
      <c r="A46" s="29" t="s">
        <v>140</v>
      </c>
      <c r="B46" s="30" t="n">
        <f aca="false">DATE(参数假设!$C$6,4,18)</f>
        <v>45765</v>
      </c>
      <c r="C46" s="31" t="n">
        <f aca="false">MONTH(B46)</f>
        <v>4</v>
      </c>
      <c r="D46" s="32" t="s">
        <v>99</v>
      </c>
      <c r="E46" s="32" t="s">
        <v>118</v>
      </c>
      <c r="F46" s="32" t="s">
        <v>61</v>
      </c>
      <c r="G46" s="29" t="s">
        <v>87</v>
      </c>
      <c r="H46" s="33" t="s">
        <v>88</v>
      </c>
      <c r="I46" s="32" t="s">
        <v>89</v>
      </c>
      <c r="J46" s="34" t="n">
        <v>4946</v>
      </c>
      <c r="K46" s="35" t="n">
        <v>10</v>
      </c>
      <c r="L46" s="27" t="n">
        <f aca="false">J46*K46</f>
        <v>49460</v>
      </c>
      <c r="M46" s="34" t="n">
        <v>3252</v>
      </c>
      <c r="N46" s="27" t="n">
        <f aca="false">IF(M46="",L46*参数假设!$C$10,M46)*K46</f>
        <v>32520</v>
      </c>
      <c r="O46" s="27" t="n">
        <f aca="false">L46-N46</f>
        <v>16940</v>
      </c>
      <c r="P46" s="28" t="n">
        <f aca="false">IF(L46=0,0,O46/L46)</f>
        <v>0.342498989082087</v>
      </c>
    </row>
    <row r="47" customFormat="false" ht="15" hidden="false" customHeight="false" outlineLevel="0" collapsed="false">
      <c r="A47" s="20" t="s">
        <v>141</v>
      </c>
      <c r="B47" s="21" t="n">
        <f aca="false">DATE(参数假设!$C$6,4,21)</f>
        <v>45768</v>
      </c>
      <c r="C47" s="22" t="n">
        <f aca="false">MONTH(B47)</f>
        <v>4</v>
      </c>
      <c r="D47" s="23" t="s">
        <v>99</v>
      </c>
      <c r="E47" s="23" t="s">
        <v>118</v>
      </c>
      <c r="F47" s="23" t="s">
        <v>61</v>
      </c>
      <c r="G47" s="20" t="s">
        <v>109</v>
      </c>
      <c r="H47" s="24" t="s">
        <v>110</v>
      </c>
      <c r="I47" s="23" t="s">
        <v>97</v>
      </c>
      <c r="J47" s="25" t="n">
        <v>1224</v>
      </c>
      <c r="K47" s="26" t="n">
        <v>10</v>
      </c>
      <c r="L47" s="27" t="n">
        <f aca="false">J47*K47</f>
        <v>12240</v>
      </c>
      <c r="M47" s="25" t="n">
        <v>317</v>
      </c>
      <c r="N47" s="27" t="n">
        <f aca="false">IF(M47="",L47*参数假设!$C$10,M47)*K47</f>
        <v>3170</v>
      </c>
      <c r="O47" s="27" t="n">
        <f aca="false">L47-N47</f>
        <v>9070</v>
      </c>
      <c r="P47" s="28" t="n">
        <f aca="false">IF(L47=0,0,O47/L47)</f>
        <v>0.741013071895425</v>
      </c>
    </row>
    <row r="48" customFormat="false" ht="15" hidden="false" customHeight="false" outlineLevel="0" collapsed="false">
      <c r="A48" s="29" t="s">
        <v>142</v>
      </c>
      <c r="B48" s="30" t="n">
        <f aca="false">DATE(参数假设!$C$6,4,25)</f>
        <v>45772</v>
      </c>
      <c r="C48" s="31" t="n">
        <f aca="false">MONTH(B48)</f>
        <v>4</v>
      </c>
      <c r="D48" s="32" t="s">
        <v>92</v>
      </c>
      <c r="E48" s="32" t="s">
        <v>93</v>
      </c>
      <c r="F48" s="32" t="s">
        <v>75</v>
      </c>
      <c r="G48" s="29" t="s">
        <v>76</v>
      </c>
      <c r="H48" s="33" t="s">
        <v>77</v>
      </c>
      <c r="I48" s="32" t="s">
        <v>78</v>
      </c>
      <c r="J48" s="34" t="n">
        <v>516</v>
      </c>
      <c r="K48" s="35" t="n">
        <v>7</v>
      </c>
      <c r="L48" s="27" t="n">
        <f aca="false">J48*K48</f>
        <v>3612</v>
      </c>
      <c r="M48" s="34" t="n">
        <v>291</v>
      </c>
      <c r="N48" s="27" t="n">
        <f aca="false">IF(M48="",L48*参数假设!$C$10,M48)*K48</f>
        <v>2037</v>
      </c>
      <c r="O48" s="27" t="n">
        <f aca="false">L48-N48</f>
        <v>1575</v>
      </c>
      <c r="P48" s="28" t="n">
        <f aca="false">IF(L48=0,0,O48/L48)</f>
        <v>0.436046511627907</v>
      </c>
    </row>
    <row r="49" customFormat="false" ht="15" hidden="false" customHeight="false" outlineLevel="0" collapsed="false">
      <c r="A49" s="20" t="s">
        <v>143</v>
      </c>
      <c r="B49" s="21" t="n">
        <f aca="false">DATE(参数假设!$C$6,4,27)</f>
        <v>45774</v>
      </c>
      <c r="C49" s="22" t="n">
        <f aca="false">MONTH(B49)</f>
        <v>4</v>
      </c>
      <c r="D49" s="23" t="s">
        <v>73</v>
      </c>
      <c r="E49" s="23" t="s">
        <v>86</v>
      </c>
      <c r="F49" s="23" t="s">
        <v>61</v>
      </c>
      <c r="G49" s="20" t="s">
        <v>83</v>
      </c>
      <c r="H49" s="24" t="s">
        <v>84</v>
      </c>
      <c r="I49" s="23" t="s">
        <v>78</v>
      </c>
      <c r="J49" s="25" t="n">
        <v>817</v>
      </c>
      <c r="K49" s="26" t="n">
        <v>21</v>
      </c>
      <c r="L49" s="27" t="n">
        <f aca="false">J49*K49</f>
        <v>17157</v>
      </c>
      <c r="M49" s="25" t="n">
        <v>469</v>
      </c>
      <c r="N49" s="27" t="n">
        <f aca="false">IF(M49="",L49*参数假设!$C$10,M49)*K49</f>
        <v>9849</v>
      </c>
      <c r="O49" s="27" t="n">
        <f aca="false">L49-N49</f>
        <v>7308</v>
      </c>
      <c r="P49" s="28" t="n">
        <f aca="false">IF(L49=0,0,O49/L49)</f>
        <v>0.425948592411261</v>
      </c>
    </row>
    <row r="50" customFormat="false" ht="15" hidden="false" customHeight="false" outlineLevel="0" collapsed="false">
      <c r="A50" s="29" t="s">
        <v>144</v>
      </c>
      <c r="B50" s="30" t="n">
        <f aca="false">DATE(参数假设!$C$6,5,3)</f>
        <v>45780</v>
      </c>
      <c r="C50" s="31" t="n">
        <f aca="false">MONTH(B50)</f>
        <v>5</v>
      </c>
      <c r="D50" s="32" t="s">
        <v>80</v>
      </c>
      <c r="E50" s="32" t="s">
        <v>115</v>
      </c>
      <c r="F50" s="32" t="s">
        <v>61</v>
      </c>
      <c r="G50" s="29" t="s">
        <v>87</v>
      </c>
      <c r="H50" s="33" t="s">
        <v>88</v>
      </c>
      <c r="I50" s="32" t="s">
        <v>89</v>
      </c>
      <c r="J50" s="34" t="n">
        <v>4838</v>
      </c>
      <c r="K50" s="35" t="n">
        <v>1</v>
      </c>
      <c r="L50" s="27" t="n">
        <f aca="false">J50*K50</f>
        <v>4838</v>
      </c>
      <c r="M50" s="34" t="n">
        <v>3237</v>
      </c>
      <c r="N50" s="27" t="n">
        <f aca="false">IF(M50="",L50*参数假设!$C$10,M50)*K50</f>
        <v>3237</v>
      </c>
      <c r="O50" s="27" t="n">
        <f aca="false">L50-N50</f>
        <v>1601</v>
      </c>
      <c r="P50" s="28" t="n">
        <f aca="false">IF(L50=0,0,O50/L50)</f>
        <v>0.330921868540719</v>
      </c>
    </row>
    <row r="51" customFormat="false" ht="15" hidden="false" customHeight="false" outlineLevel="0" collapsed="false">
      <c r="A51" s="20" t="s">
        <v>145</v>
      </c>
      <c r="B51" s="21" t="n">
        <f aca="false">DATE(参数假设!$C$6,5,5)</f>
        <v>45782</v>
      </c>
      <c r="C51" s="22" t="n">
        <f aca="false">MONTH(B51)</f>
        <v>5</v>
      </c>
      <c r="D51" s="23" t="s">
        <v>99</v>
      </c>
      <c r="E51" s="23" t="s">
        <v>118</v>
      </c>
      <c r="F51" s="23" t="s">
        <v>61</v>
      </c>
      <c r="G51" s="20" t="s">
        <v>83</v>
      </c>
      <c r="H51" s="24" t="s">
        <v>84</v>
      </c>
      <c r="I51" s="23" t="s">
        <v>78</v>
      </c>
      <c r="J51" s="25" t="n">
        <v>725</v>
      </c>
      <c r="K51" s="26" t="n">
        <v>24</v>
      </c>
      <c r="L51" s="27" t="n">
        <f aca="false">J51*K51</f>
        <v>17400</v>
      </c>
      <c r="M51" s="25" t="n">
        <v>481</v>
      </c>
      <c r="N51" s="27" t="n">
        <f aca="false">IF(M51="",L51*参数假设!$C$10,M51)*K51</f>
        <v>11544</v>
      </c>
      <c r="O51" s="27" t="n">
        <f aca="false">L51-N51</f>
        <v>5856</v>
      </c>
      <c r="P51" s="28" t="n">
        <f aca="false">IF(L51=0,0,O51/L51)</f>
        <v>0.336551724137931</v>
      </c>
    </row>
    <row r="52" customFormat="false" ht="15" hidden="false" customHeight="false" outlineLevel="0" collapsed="false">
      <c r="A52" s="29" t="s">
        <v>146</v>
      </c>
      <c r="B52" s="30" t="n">
        <f aca="false">DATE(参数假设!$C$6,5,7)</f>
        <v>45784</v>
      </c>
      <c r="C52" s="31" t="n">
        <f aca="false">MONTH(B52)</f>
        <v>5</v>
      </c>
      <c r="D52" s="32" t="s">
        <v>73</v>
      </c>
      <c r="E52" s="32" t="s">
        <v>74</v>
      </c>
      <c r="F52" s="32" t="s">
        <v>61</v>
      </c>
      <c r="G52" s="29" t="s">
        <v>83</v>
      </c>
      <c r="H52" s="33" t="s">
        <v>84</v>
      </c>
      <c r="I52" s="32" t="s">
        <v>78</v>
      </c>
      <c r="J52" s="34" t="n">
        <v>769</v>
      </c>
      <c r="K52" s="35" t="n">
        <v>11</v>
      </c>
      <c r="L52" s="27" t="n">
        <f aca="false">J52*K52</f>
        <v>8459</v>
      </c>
      <c r="M52" s="34" t="n">
        <v>486</v>
      </c>
      <c r="N52" s="27" t="n">
        <f aca="false">IF(M52="",L52*参数假设!$C$10,M52)*K52</f>
        <v>5346</v>
      </c>
      <c r="O52" s="27" t="n">
        <f aca="false">L52-N52</f>
        <v>3113</v>
      </c>
      <c r="P52" s="28" t="n">
        <f aca="false">IF(L52=0,0,O52/L52)</f>
        <v>0.368010403120936</v>
      </c>
    </row>
    <row r="53" customFormat="false" ht="15" hidden="false" customHeight="false" outlineLevel="0" collapsed="false">
      <c r="A53" s="20" t="s">
        <v>147</v>
      </c>
      <c r="B53" s="21" t="n">
        <f aca="false">DATE(参数假设!$C$6,5,10)</f>
        <v>45787</v>
      </c>
      <c r="C53" s="22" t="n">
        <f aca="false">MONTH(B53)</f>
        <v>5</v>
      </c>
      <c r="D53" s="23" t="s">
        <v>92</v>
      </c>
      <c r="E53" s="23" t="s">
        <v>105</v>
      </c>
      <c r="F53" s="23" t="s">
        <v>61</v>
      </c>
      <c r="G53" s="20" t="s">
        <v>76</v>
      </c>
      <c r="H53" s="24" t="s">
        <v>77</v>
      </c>
      <c r="I53" s="23" t="s">
        <v>78</v>
      </c>
      <c r="J53" s="25" t="n">
        <v>493</v>
      </c>
      <c r="K53" s="26" t="n">
        <v>18</v>
      </c>
      <c r="L53" s="27" t="n">
        <f aca="false">J53*K53</f>
        <v>8874</v>
      </c>
      <c r="M53" s="25" t="n">
        <v>291</v>
      </c>
      <c r="N53" s="27" t="n">
        <f aca="false">IF(M53="",L53*参数假设!$C$10,M53)*K53</f>
        <v>5238</v>
      </c>
      <c r="O53" s="27" t="n">
        <f aca="false">L53-N53</f>
        <v>3636</v>
      </c>
      <c r="P53" s="28" t="n">
        <f aca="false">IF(L53=0,0,O53/L53)</f>
        <v>0.40973630831643</v>
      </c>
    </row>
    <row r="54" customFormat="false" ht="15" hidden="false" customHeight="false" outlineLevel="0" collapsed="false">
      <c r="A54" s="29" t="s">
        <v>148</v>
      </c>
      <c r="B54" s="30" t="n">
        <f aca="false">DATE(参数假设!$C$6,5,11)</f>
        <v>45788</v>
      </c>
      <c r="C54" s="31" t="n">
        <f aca="false">MONTH(B54)</f>
        <v>5</v>
      </c>
      <c r="D54" s="32" t="s">
        <v>92</v>
      </c>
      <c r="E54" s="32" t="s">
        <v>105</v>
      </c>
      <c r="F54" s="32" t="s">
        <v>75</v>
      </c>
      <c r="G54" s="29" t="s">
        <v>83</v>
      </c>
      <c r="H54" s="33" t="s">
        <v>84</v>
      </c>
      <c r="I54" s="32" t="s">
        <v>78</v>
      </c>
      <c r="J54" s="34" t="n">
        <v>802</v>
      </c>
      <c r="K54" s="35" t="n">
        <v>6</v>
      </c>
      <c r="L54" s="27" t="n">
        <f aca="false">J54*K54</f>
        <v>4812</v>
      </c>
      <c r="M54" s="34" t="n">
        <v>494</v>
      </c>
      <c r="N54" s="27" t="n">
        <f aca="false">IF(M54="",L54*参数假设!$C$10,M54)*K54</f>
        <v>2964</v>
      </c>
      <c r="O54" s="27" t="n">
        <f aca="false">L54-N54</f>
        <v>1848</v>
      </c>
      <c r="P54" s="28" t="n">
        <f aca="false">IF(L54=0,0,O54/L54)</f>
        <v>0.384039900249377</v>
      </c>
    </row>
    <row r="55" customFormat="false" ht="15" hidden="false" customHeight="false" outlineLevel="0" collapsed="false">
      <c r="A55" s="20" t="s">
        <v>149</v>
      </c>
      <c r="B55" s="21" t="n">
        <f aca="false">DATE(参数假设!$C$6,5,12)</f>
        <v>45789</v>
      </c>
      <c r="C55" s="22" t="n">
        <f aca="false">MONTH(B55)</f>
        <v>5</v>
      </c>
      <c r="D55" s="23" t="s">
        <v>99</v>
      </c>
      <c r="E55" s="23" t="s">
        <v>100</v>
      </c>
      <c r="F55" s="23" t="s">
        <v>61</v>
      </c>
      <c r="G55" s="20" t="s">
        <v>109</v>
      </c>
      <c r="H55" s="24" t="s">
        <v>110</v>
      </c>
      <c r="I55" s="23" t="s">
        <v>97</v>
      </c>
      <c r="J55" s="25" t="n">
        <v>1148</v>
      </c>
      <c r="K55" s="26" t="n">
        <v>18</v>
      </c>
      <c r="L55" s="27" t="n">
        <f aca="false">J55*K55</f>
        <v>20664</v>
      </c>
      <c r="M55" s="25" t="n">
        <v>305</v>
      </c>
      <c r="N55" s="27" t="n">
        <f aca="false">IF(M55="",L55*参数假设!$C$10,M55)*K55</f>
        <v>5490</v>
      </c>
      <c r="O55" s="27" t="n">
        <f aca="false">L55-N55</f>
        <v>15174</v>
      </c>
      <c r="P55" s="28" t="n">
        <f aca="false">IF(L55=0,0,O55/L55)</f>
        <v>0.734320557491289</v>
      </c>
    </row>
    <row r="56" customFormat="false" ht="15" hidden="false" customHeight="false" outlineLevel="0" collapsed="false">
      <c r="A56" s="29" t="s">
        <v>150</v>
      </c>
      <c r="B56" s="30" t="n">
        <f aca="false">DATE(参数假设!$C$6,5,21)</f>
        <v>45798</v>
      </c>
      <c r="C56" s="31" t="n">
        <f aca="false">MONTH(B56)</f>
        <v>5</v>
      </c>
      <c r="D56" s="32" t="s">
        <v>99</v>
      </c>
      <c r="E56" s="32" t="s">
        <v>118</v>
      </c>
      <c r="F56" s="32" t="s">
        <v>61</v>
      </c>
      <c r="G56" s="29" t="s">
        <v>95</v>
      </c>
      <c r="H56" s="33" t="s">
        <v>96</v>
      </c>
      <c r="I56" s="32" t="s">
        <v>97</v>
      </c>
      <c r="J56" s="34" t="n">
        <v>3500</v>
      </c>
      <c r="K56" s="35" t="n">
        <v>15</v>
      </c>
      <c r="L56" s="27" t="n">
        <f aca="false">J56*K56</f>
        <v>52500</v>
      </c>
      <c r="M56" s="34" t="n">
        <v>874</v>
      </c>
      <c r="N56" s="27" t="n">
        <f aca="false">IF(M56="",L56*参数假设!$C$10,M56)*K56</f>
        <v>13110</v>
      </c>
      <c r="O56" s="27" t="n">
        <f aca="false">L56-N56</f>
        <v>39390</v>
      </c>
      <c r="P56" s="28" t="n">
        <f aca="false">IF(L56=0,0,O56/L56)</f>
        <v>0.750285714285714</v>
      </c>
    </row>
    <row r="57" customFormat="false" ht="15" hidden="false" customHeight="false" outlineLevel="0" collapsed="false">
      <c r="A57" s="20" t="s">
        <v>151</v>
      </c>
      <c r="B57" s="21" t="n">
        <f aca="false">DATE(参数假设!$C$6,5,22)</f>
        <v>45799</v>
      </c>
      <c r="C57" s="22" t="n">
        <f aca="false">MONTH(B57)</f>
        <v>5</v>
      </c>
      <c r="D57" s="23" t="s">
        <v>99</v>
      </c>
      <c r="E57" s="23" t="s">
        <v>118</v>
      </c>
      <c r="F57" s="23" t="s">
        <v>61</v>
      </c>
      <c r="G57" s="20" t="s">
        <v>87</v>
      </c>
      <c r="H57" s="24" t="s">
        <v>88</v>
      </c>
      <c r="I57" s="23" t="s">
        <v>89</v>
      </c>
      <c r="J57" s="25" t="n">
        <v>5174</v>
      </c>
      <c r="K57" s="26" t="n">
        <v>8</v>
      </c>
      <c r="L57" s="27" t="n">
        <f aca="false">J57*K57</f>
        <v>41392</v>
      </c>
      <c r="M57" s="25" t="n">
        <v>3237</v>
      </c>
      <c r="N57" s="27" t="n">
        <f aca="false">IF(M57="",L57*参数假设!$C$10,M57)*K57</f>
        <v>25896</v>
      </c>
      <c r="O57" s="27" t="n">
        <f aca="false">L57-N57</f>
        <v>15496</v>
      </c>
      <c r="P57" s="28" t="n">
        <f aca="false">IF(L57=0,0,O57/L57)</f>
        <v>0.374371859296482</v>
      </c>
    </row>
    <row r="58" customFormat="false" ht="15" hidden="false" customHeight="false" outlineLevel="0" collapsed="false">
      <c r="A58" s="29" t="s">
        <v>152</v>
      </c>
      <c r="B58" s="30" t="n">
        <f aca="false">DATE(参数假设!$C$6,5,23)</f>
        <v>45800</v>
      </c>
      <c r="C58" s="31" t="n">
        <f aca="false">MONTH(B58)</f>
        <v>5</v>
      </c>
      <c r="D58" s="32" t="s">
        <v>80</v>
      </c>
      <c r="E58" s="32" t="s">
        <v>115</v>
      </c>
      <c r="F58" s="32" t="s">
        <v>82</v>
      </c>
      <c r="G58" s="29" t="s">
        <v>87</v>
      </c>
      <c r="H58" s="33" t="s">
        <v>88</v>
      </c>
      <c r="I58" s="32" t="s">
        <v>89</v>
      </c>
      <c r="J58" s="34" t="n">
        <v>5152</v>
      </c>
      <c r="K58" s="35" t="n">
        <v>2</v>
      </c>
      <c r="L58" s="27" t="n">
        <f aca="false">J58*K58</f>
        <v>10304</v>
      </c>
      <c r="M58" s="34" t="n">
        <v>3373</v>
      </c>
      <c r="N58" s="27" t="n">
        <f aca="false">IF(M58="",L58*参数假设!$C$10,M58)*K58</f>
        <v>6746</v>
      </c>
      <c r="O58" s="27" t="n">
        <f aca="false">L58-N58</f>
        <v>3558</v>
      </c>
      <c r="P58" s="28" t="n">
        <f aca="false">IF(L58=0,0,O58/L58)</f>
        <v>0.345302795031056</v>
      </c>
    </row>
    <row r="59" customFormat="false" ht="15" hidden="false" customHeight="false" outlineLevel="0" collapsed="false">
      <c r="A59" s="20" t="s">
        <v>153</v>
      </c>
      <c r="B59" s="21" t="n">
        <f aca="false">DATE(参数假设!$C$6,5,27)</f>
        <v>45804</v>
      </c>
      <c r="C59" s="22" t="n">
        <f aca="false">MONTH(B59)</f>
        <v>5</v>
      </c>
      <c r="D59" s="23" t="s">
        <v>99</v>
      </c>
      <c r="E59" s="23" t="s">
        <v>100</v>
      </c>
      <c r="F59" s="23" t="s">
        <v>61</v>
      </c>
      <c r="G59" s="20" t="s">
        <v>109</v>
      </c>
      <c r="H59" s="24" t="s">
        <v>110</v>
      </c>
      <c r="I59" s="23" t="s">
        <v>97</v>
      </c>
      <c r="J59" s="25" t="n">
        <v>1184</v>
      </c>
      <c r="K59" s="26" t="n">
        <v>21</v>
      </c>
      <c r="L59" s="27" t="n">
        <f aca="false">J59*K59</f>
        <v>24864</v>
      </c>
      <c r="M59" s="25" t="n">
        <v>314</v>
      </c>
      <c r="N59" s="27" t="n">
        <f aca="false">IF(M59="",L59*参数假设!$C$10,M59)*K59</f>
        <v>6594</v>
      </c>
      <c r="O59" s="27" t="n">
        <f aca="false">L59-N59</f>
        <v>18270</v>
      </c>
      <c r="P59" s="28" t="n">
        <f aca="false">IF(L59=0,0,O59/L59)</f>
        <v>0.734797297297297</v>
      </c>
    </row>
    <row r="60" customFormat="false" ht="15" hidden="false" customHeight="false" outlineLevel="0" collapsed="false">
      <c r="A60" s="29" t="s">
        <v>154</v>
      </c>
      <c r="B60" s="30" t="n">
        <f aca="false">DATE(参数假设!$C$6,5,28)</f>
        <v>45805</v>
      </c>
      <c r="C60" s="31" t="n">
        <f aca="false">MONTH(B60)</f>
        <v>5</v>
      </c>
      <c r="D60" s="32" t="s">
        <v>80</v>
      </c>
      <c r="E60" s="32" t="s">
        <v>81</v>
      </c>
      <c r="F60" s="32" t="s">
        <v>75</v>
      </c>
      <c r="G60" s="29" t="s">
        <v>101</v>
      </c>
      <c r="H60" s="33" t="s">
        <v>102</v>
      </c>
      <c r="I60" s="32" t="s">
        <v>89</v>
      </c>
      <c r="J60" s="34" t="n">
        <v>1904</v>
      </c>
      <c r="K60" s="35" t="n">
        <v>2</v>
      </c>
      <c r="L60" s="27" t="n">
        <f aca="false">J60*K60</f>
        <v>3808</v>
      </c>
      <c r="M60" s="34" t="n">
        <v>1258</v>
      </c>
      <c r="N60" s="27" t="n">
        <f aca="false">IF(M60="",L60*参数假设!$C$10,M60)*K60</f>
        <v>2516</v>
      </c>
      <c r="O60" s="27" t="n">
        <f aca="false">L60-N60</f>
        <v>1292</v>
      </c>
      <c r="P60" s="28" t="n">
        <f aca="false">IF(L60=0,0,O60/L60)</f>
        <v>0.339285714285714</v>
      </c>
    </row>
    <row r="61" customFormat="false" ht="15" hidden="false" customHeight="false" outlineLevel="0" collapsed="false">
      <c r="A61" s="20" t="s">
        <v>155</v>
      </c>
      <c r="B61" s="21" t="n">
        <f aca="false">DATE(参数假设!$C$6,6,12)</f>
        <v>45820</v>
      </c>
      <c r="C61" s="22" t="n">
        <f aca="false">MONTH(B61)</f>
        <v>6</v>
      </c>
      <c r="D61" s="23" t="s">
        <v>92</v>
      </c>
      <c r="E61" s="23" t="s">
        <v>105</v>
      </c>
      <c r="F61" s="23" t="s">
        <v>61</v>
      </c>
      <c r="G61" s="20" t="s">
        <v>83</v>
      </c>
      <c r="H61" s="24" t="s">
        <v>84</v>
      </c>
      <c r="I61" s="23" t="s">
        <v>78</v>
      </c>
      <c r="J61" s="25" t="n">
        <v>811</v>
      </c>
      <c r="K61" s="26" t="n">
        <v>18</v>
      </c>
      <c r="L61" s="27" t="n">
        <f aca="false">J61*K61</f>
        <v>14598</v>
      </c>
      <c r="M61" s="25" t="n">
        <v>453</v>
      </c>
      <c r="N61" s="27" t="n">
        <f aca="false">IF(M61="",L61*参数假设!$C$10,M61)*K61</f>
        <v>8154</v>
      </c>
      <c r="O61" s="27" t="n">
        <f aca="false">L61-N61</f>
        <v>6444</v>
      </c>
      <c r="P61" s="28" t="n">
        <f aca="false">IF(L61=0,0,O61/L61)</f>
        <v>0.441430332922318</v>
      </c>
    </row>
    <row r="62" customFormat="false" ht="15" hidden="false" customHeight="false" outlineLevel="0" collapsed="false">
      <c r="A62" s="29" t="s">
        <v>156</v>
      </c>
      <c r="B62" s="30" t="n">
        <f aca="false">DATE(参数假设!$C$6,6,14)</f>
        <v>45822</v>
      </c>
      <c r="C62" s="31" t="n">
        <f aca="false">MONTH(B62)</f>
        <v>6</v>
      </c>
      <c r="D62" s="32" t="s">
        <v>73</v>
      </c>
      <c r="E62" s="32" t="s">
        <v>86</v>
      </c>
      <c r="F62" s="32" t="s">
        <v>75</v>
      </c>
      <c r="G62" s="29" t="s">
        <v>76</v>
      </c>
      <c r="H62" s="33" t="s">
        <v>77</v>
      </c>
      <c r="I62" s="32" t="s">
        <v>78</v>
      </c>
      <c r="J62" s="34" t="n">
        <v>514</v>
      </c>
      <c r="K62" s="35" t="n">
        <v>33</v>
      </c>
      <c r="L62" s="27" t="n">
        <f aca="false">J62*K62</f>
        <v>16962</v>
      </c>
      <c r="M62" s="34" t="n">
        <v>299</v>
      </c>
      <c r="N62" s="27" t="n">
        <f aca="false">IF(M62="",L62*参数假设!$C$10,M62)*K62</f>
        <v>9867</v>
      </c>
      <c r="O62" s="27" t="n">
        <f aca="false">L62-N62</f>
        <v>7095</v>
      </c>
      <c r="P62" s="28" t="n">
        <f aca="false">IF(L62=0,0,O62/L62)</f>
        <v>0.418287937743191</v>
      </c>
    </row>
    <row r="63" customFormat="false" ht="15" hidden="false" customHeight="false" outlineLevel="0" collapsed="false">
      <c r="A63" s="20" t="s">
        <v>157</v>
      </c>
      <c r="B63" s="21" t="n">
        <f aca="false">DATE(参数假设!$C$6,6,14)</f>
        <v>45822</v>
      </c>
      <c r="C63" s="22" t="n">
        <f aca="false">MONTH(B63)</f>
        <v>6</v>
      </c>
      <c r="D63" s="23" t="s">
        <v>92</v>
      </c>
      <c r="E63" s="23" t="s">
        <v>105</v>
      </c>
      <c r="F63" s="23" t="s">
        <v>75</v>
      </c>
      <c r="G63" s="20" t="s">
        <v>95</v>
      </c>
      <c r="H63" s="24" t="s">
        <v>96</v>
      </c>
      <c r="I63" s="23" t="s">
        <v>97</v>
      </c>
      <c r="J63" s="25" t="n">
        <v>3669</v>
      </c>
      <c r="K63" s="26" t="n">
        <v>5</v>
      </c>
      <c r="L63" s="27" t="n">
        <f aca="false">J63*K63</f>
        <v>18345</v>
      </c>
      <c r="M63" s="25" t="n">
        <v>916</v>
      </c>
      <c r="N63" s="27" t="n">
        <f aca="false">IF(M63="",L63*参数假设!$C$10,M63)*K63</f>
        <v>4580</v>
      </c>
      <c r="O63" s="27" t="n">
        <f aca="false">L63-N63</f>
        <v>13765</v>
      </c>
      <c r="P63" s="28" t="n">
        <f aca="false">IF(L63=0,0,O63/L63)</f>
        <v>0.750340692286727</v>
      </c>
    </row>
    <row r="64" customFormat="false" ht="15" hidden="false" customHeight="false" outlineLevel="0" collapsed="false">
      <c r="A64" s="29" t="s">
        <v>158</v>
      </c>
      <c r="B64" s="30" t="n">
        <f aca="false">DATE(参数假设!$C$6,6,15)</f>
        <v>45823</v>
      </c>
      <c r="C64" s="31" t="n">
        <f aca="false">MONTH(B64)</f>
        <v>6</v>
      </c>
      <c r="D64" s="32" t="s">
        <v>92</v>
      </c>
      <c r="E64" s="32" t="s">
        <v>105</v>
      </c>
      <c r="F64" s="32" t="s">
        <v>61</v>
      </c>
      <c r="G64" s="29" t="s">
        <v>101</v>
      </c>
      <c r="H64" s="33" t="s">
        <v>102</v>
      </c>
      <c r="I64" s="32" t="s">
        <v>89</v>
      </c>
      <c r="J64" s="34" t="n">
        <v>2045</v>
      </c>
      <c r="K64" s="35" t="n">
        <v>11</v>
      </c>
      <c r="L64" s="27" t="n">
        <f aca="false">J64*K64</f>
        <v>22495</v>
      </c>
      <c r="M64" s="34" t="n">
        <v>1294</v>
      </c>
      <c r="N64" s="27" t="n">
        <f aca="false">IF(M64="",L64*参数假设!$C$10,M64)*K64</f>
        <v>14234</v>
      </c>
      <c r="O64" s="27" t="n">
        <f aca="false">L64-N64</f>
        <v>8261</v>
      </c>
      <c r="P64" s="28" t="n">
        <f aca="false">IF(L64=0,0,O64/L64)</f>
        <v>0.367237163814181</v>
      </c>
    </row>
    <row r="65" customFormat="false" ht="15" hidden="false" customHeight="false" outlineLevel="0" collapsed="false">
      <c r="A65" s="20" t="s">
        <v>159</v>
      </c>
      <c r="B65" s="21" t="n">
        <f aca="false">DATE(参数假设!$C$6,6,17)</f>
        <v>45825</v>
      </c>
      <c r="C65" s="22" t="n">
        <f aca="false">MONTH(B65)</f>
        <v>6</v>
      </c>
      <c r="D65" s="23" t="s">
        <v>80</v>
      </c>
      <c r="E65" s="23" t="s">
        <v>115</v>
      </c>
      <c r="F65" s="23" t="s">
        <v>61</v>
      </c>
      <c r="G65" s="20" t="s">
        <v>109</v>
      </c>
      <c r="H65" s="24" t="s">
        <v>110</v>
      </c>
      <c r="I65" s="23" t="s">
        <v>97</v>
      </c>
      <c r="J65" s="25" t="n">
        <v>1157</v>
      </c>
      <c r="K65" s="26" t="n">
        <v>22</v>
      </c>
      <c r="L65" s="27" t="n">
        <f aca="false">J65*K65</f>
        <v>25454</v>
      </c>
      <c r="M65" s="25" t="n">
        <v>302</v>
      </c>
      <c r="N65" s="27" t="n">
        <f aca="false">IF(M65="",L65*参数假设!$C$10,M65)*K65</f>
        <v>6644</v>
      </c>
      <c r="O65" s="27" t="n">
        <f aca="false">L65-N65</f>
        <v>18810</v>
      </c>
      <c r="P65" s="28" t="n">
        <f aca="false">IF(L65=0,0,O65/L65)</f>
        <v>0.738980121002593</v>
      </c>
    </row>
    <row r="66" customFormat="false" ht="15" hidden="false" customHeight="false" outlineLevel="0" collapsed="false">
      <c r="A66" s="29" t="s">
        <v>160</v>
      </c>
      <c r="B66" s="30" t="n">
        <f aca="false">DATE(参数假设!$C$6,6,17)</f>
        <v>45825</v>
      </c>
      <c r="C66" s="31" t="n">
        <f aca="false">MONTH(B66)</f>
        <v>6</v>
      </c>
      <c r="D66" s="32" t="s">
        <v>73</v>
      </c>
      <c r="E66" s="32" t="s">
        <v>86</v>
      </c>
      <c r="F66" s="32" t="s">
        <v>75</v>
      </c>
      <c r="G66" s="29" t="s">
        <v>101</v>
      </c>
      <c r="H66" s="33" t="s">
        <v>102</v>
      </c>
      <c r="I66" s="32" t="s">
        <v>89</v>
      </c>
      <c r="J66" s="34" t="n">
        <v>1954</v>
      </c>
      <c r="K66" s="35" t="n">
        <v>3</v>
      </c>
      <c r="L66" s="27" t="n">
        <f aca="false">J66*K66</f>
        <v>5862</v>
      </c>
      <c r="M66" s="34" t="n">
        <v>1280</v>
      </c>
      <c r="N66" s="27" t="n">
        <f aca="false">IF(M66="",L66*参数假设!$C$10,M66)*K66</f>
        <v>3840</v>
      </c>
      <c r="O66" s="27" t="n">
        <f aca="false">L66-N66</f>
        <v>2022</v>
      </c>
      <c r="P66" s="28" t="n">
        <f aca="false">IF(L66=0,0,O66/L66)</f>
        <v>0.344933469805527</v>
      </c>
    </row>
    <row r="67" customFormat="false" ht="15" hidden="false" customHeight="false" outlineLevel="0" collapsed="false">
      <c r="A67" s="20" t="s">
        <v>161</v>
      </c>
      <c r="B67" s="21" t="n">
        <f aca="false">DATE(参数假设!$C$6,6,18)</f>
        <v>45826</v>
      </c>
      <c r="C67" s="22" t="n">
        <f aca="false">MONTH(B67)</f>
        <v>6</v>
      </c>
      <c r="D67" s="23" t="s">
        <v>99</v>
      </c>
      <c r="E67" s="23" t="s">
        <v>100</v>
      </c>
      <c r="F67" s="23" t="s">
        <v>82</v>
      </c>
      <c r="G67" s="20" t="s">
        <v>95</v>
      </c>
      <c r="H67" s="24" t="s">
        <v>96</v>
      </c>
      <c r="I67" s="23" t="s">
        <v>97</v>
      </c>
      <c r="J67" s="25" t="n">
        <v>3482</v>
      </c>
      <c r="K67" s="26" t="n">
        <v>6</v>
      </c>
      <c r="L67" s="27" t="n">
        <f aca="false">J67*K67</f>
        <v>20892</v>
      </c>
      <c r="M67" s="25" t="n">
        <v>881</v>
      </c>
      <c r="N67" s="27" t="n">
        <f aca="false">IF(M67="",L67*参数假设!$C$10,M67)*K67</f>
        <v>5286</v>
      </c>
      <c r="O67" s="27" t="n">
        <f aca="false">L67-N67</f>
        <v>15606</v>
      </c>
      <c r="P67" s="28" t="n">
        <f aca="false">IF(L67=0,0,O67/L67)</f>
        <v>0.746984491671453</v>
      </c>
    </row>
    <row r="68" customFormat="false" ht="15" hidden="false" customHeight="false" outlineLevel="0" collapsed="false">
      <c r="A68" s="29" t="s">
        <v>162</v>
      </c>
      <c r="B68" s="30" t="n">
        <f aca="false">DATE(参数假设!$C$6,6,19)</f>
        <v>45827</v>
      </c>
      <c r="C68" s="31" t="n">
        <f aca="false">MONTH(B68)</f>
        <v>6</v>
      </c>
      <c r="D68" s="32" t="s">
        <v>73</v>
      </c>
      <c r="E68" s="32" t="s">
        <v>86</v>
      </c>
      <c r="F68" s="32" t="s">
        <v>61</v>
      </c>
      <c r="G68" s="29" t="s">
        <v>83</v>
      </c>
      <c r="H68" s="33" t="s">
        <v>84</v>
      </c>
      <c r="I68" s="32" t="s">
        <v>78</v>
      </c>
      <c r="J68" s="34" t="n">
        <v>730</v>
      </c>
      <c r="K68" s="35" t="n">
        <v>17</v>
      </c>
      <c r="L68" s="27" t="n">
        <f aca="false">J68*K68</f>
        <v>12410</v>
      </c>
      <c r="M68" s="34" t="n">
        <v>466</v>
      </c>
      <c r="N68" s="27" t="n">
        <f aca="false">IF(M68="",L68*参数假设!$C$10,M68)*K68</f>
        <v>7922</v>
      </c>
      <c r="O68" s="27" t="n">
        <f aca="false">L68-N68</f>
        <v>4488</v>
      </c>
      <c r="P68" s="28" t="n">
        <f aca="false">IF(L68=0,0,O68/L68)</f>
        <v>0.361643835616438</v>
      </c>
    </row>
    <row r="69" customFormat="false" ht="15" hidden="false" customHeight="false" outlineLevel="0" collapsed="false">
      <c r="A69" s="20" t="s">
        <v>163</v>
      </c>
      <c r="B69" s="21" t="n">
        <f aca="false">DATE(参数假设!$C$6,6,22)</f>
        <v>45830</v>
      </c>
      <c r="C69" s="22" t="n">
        <f aca="false">MONTH(B69)</f>
        <v>6</v>
      </c>
      <c r="D69" s="23" t="s">
        <v>80</v>
      </c>
      <c r="E69" s="23" t="s">
        <v>81</v>
      </c>
      <c r="F69" s="23" t="s">
        <v>75</v>
      </c>
      <c r="G69" s="20" t="s">
        <v>83</v>
      </c>
      <c r="H69" s="24" t="s">
        <v>84</v>
      </c>
      <c r="I69" s="23" t="s">
        <v>78</v>
      </c>
      <c r="J69" s="25" t="n">
        <v>761</v>
      </c>
      <c r="K69" s="26" t="n">
        <v>33</v>
      </c>
      <c r="L69" s="27" t="n">
        <f aca="false">J69*K69</f>
        <v>25113</v>
      </c>
      <c r="M69" s="25" t="n">
        <v>478</v>
      </c>
      <c r="N69" s="27" t="n">
        <f aca="false">IF(M69="",L69*参数假设!$C$10,M69)*K69</f>
        <v>15774</v>
      </c>
      <c r="O69" s="27" t="n">
        <f aca="false">L69-N69</f>
        <v>9339</v>
      </c>
      <c r="P69" s="28" t="n">
        <f aca="false">IF(L69=0,0,O69/L69)</f>
        <v>0.371879106438896</v>
      </c>
    </row>
    <row r="70" customFormat="false" ht="15" hidden="false" customHeight="false" outlineLevel="0" collapsed="false">
      <c r="A70" s="29" t="s">
        <v>164</v>
      </c>
      <c r="B70" s="30" t="n">
        <f aca="false">DATE(参数假设!$C$6,6,26)</f>
        <v>45834</v>
      </c>
      <c r="C70" s="31" t="n">
        <f aca="false">MONTH(B70)</f>
        <v>6</v>
      </c>
      <c r="D70" s="32" t="s">
        <v>99</v>
      </c>
      <c r="E70" s="32" t="s">
        <v>118</v>
      </c>
      <c r="F70" s="32" t="s">
        <v>61</v>
      </c>
      <c r="G70" s="29" t="s">
        <v>83</v>
      </c>
      <c r="H70" s="33" t="s">
        <v>84</v>
      </c>
      <c r="I70" s="32" t="s">
        <v>78</v>
      </c>
      <c r="J70" s="34" t="n">
        <v>725</v>
      </c>
      <c r="K70" s="35" t="n">
        <v>11</v>
      </c>
      <c r="L70" s="27" t="n">
        <f aca="false">J70*K70</f>
        <v>7975</v>
      </c>
      <c r="M70" s="34" t="n">
        <v>463</v>
      </c>
      <c r="N70" s="27" t="n">
        <f aca="false">IF(M70="",L70*参数假设!$C$10,M70)*K70</f>
        <v>5093</v>
      </c>
      <c r="O70" s="27" t="n">
        <f aca="false">L70-N70</f>
        <v>2882</v>
      </c>
      <c r="P70" s="28" t="n">
        <f aca="false">IF(L70=0,0,O70/L70)</f>
        <v>0.361379310344828</v>
      </c>
    </row>
    <row r="71" customFormat="false" ht="15" hidden="false" customHeight="false" outlineLevel="0" collapsed="false">
      <c r="A71" s="20" t="s">
        <v>165</v>
      </c>
      <c r="B71" s="21" t="n">
        <f aca="false">DATE(参数假设!$C$6,6,27)</f>
        <v>45835</v>
      </c>
      <c r="C71" s="22" t="n">
        <f aca="false">MONTH(B71)</f>
        <v>6</v>
      </c>
      <c r="D71" s="23" t="s">
        <v>99</v>
      </c>
      <c r="E71" s="23" t="s">
        <v>100</v>
      </c>
      <c r="F71" s="23" t="s">
        <v>61</v>
      </c>
      <c r="G71" s="20" t="s">
        <v>87</v>
      </c>
      <c r="H71" s="24" t="s">
        <v>88</v>
      </c>
      <c r="I71" s="23" t="s">
        <v>89</v>
      </c>
      <c r="J71" s="25" t="n">
        <v>5373</v>
      </c>
      <c r="K71" s="26" t="n">
        <v>1</v>
      </c>
      <c r="L71" s="27" t="n">
        <f aca="false">J71*K71</f>
        <v>5373</v>
      </c>
      <c r="M71" s="25" t="n">
        <v>3103</v>
      </c>
      <c r="N71" s="27" t="n">
        <f aca="false">IF(M71="",L71*参数假设!$C$10,M71)*K71</f>
        <v>3103</v>
      </c>
      <c r="O71" s="27" t="n">
        <f aca="false">L71-N71</f>
        <v>2270</v>
      </c>
      <c r="P71" s="28" t="n">
        <f aca="false">IF(L71=0,0,O71/L71)</f>
        <v>0.42248278429183</v>
      </c>
    </row>
    <row r="72" customFormat="false" ht="15" hidden="false" customHeight="false" outlineLevel="0" collapsed="false">
      <c r="A72" s="29" t="s">
        <v>166</v>
      </c>
      <c r="B72" s="30" t="n">
        <f aca="false">DATE(参数假设!$C$6,6,28)</f>
        <v>45836</v>
      </c>
      <c r="C72" s="31" t="n">
        <f aca="false">MONTH(B72)</f>
        <v>6</v>
      </c>
      <c r="D72" s="32" t="s">
        <v>92</v>
      </c>
      <c r="E72" s="32" t="s">
        <v>105</v>
      </c>
      <c r="F72" s="32" t="s">
        <v>75</v>
      </c>
      <c r="G72" s="29" t="s">
        <v>76</v>
      </c>
      <c r="H72" s="33" t="s">
        <v>77</v>
      </c>
      <c r="I72" s="32" t="s">
        <v>78</v>
      </c>
      <c r="J72" s="34" t="n">
        <v>497</v>
      </c>
      <c r="K72" s="35" t="n">
        <v>4</v>
      </c>
      <c r="L72" s="27" t="n">
        <f aca="false">J72*K72</f>
        <v>1988</v>
      </c>
      <c r="M72" s="34" t="n">
        <v>314</v>
      </c>
      <c r="N72" s="27" t="n">
        <f aca="false">IF(M72="",L72*参数假设!$C$10,M72)*K72</f>
        <v>1256</v>
      </c>
      <c r="O72" s="27" t="n">
        <f aca="false">L72-N72</f>
        <v>732</v>
      </c>
      <c r="P72" s="28" t="n">
        <f aca="false">IF(L72=0,0,O72/L72)</f>
        <v>0.368209255533199</v>
      </c>
    </row>
    <row r="73" customFormat="false" ht="15" hidden="false" customHeight="false" outlineLevel="0" collapsed="false">
      <c r="A73" s="20" t="s">
        <v>167</v>
      </c>
      <c r="B73" s="21" t="n">
        <f aca="false">DATE(参数假设!$C$6,7,10)</f>
        <v>45848</v>
      </c>
      <c r="C73" s="22" t="n">
        <f aca="false">MONTH(B73)</f>
        <v>7</v>
      </c>
      <c r="D73" s="23" t="s">
        <v>92</v>
      </c>
      <c r="E73" s="23" t="s">
        <v>93</v>
      </c>
      <c r="F73" s="23" t="s">
        <v>75</v>
      </c>
      <c r="G73" s="20" t="s">
        <v>109</v>
      </c>
      <c r="H73" s="24" t="s">
        <v>110</v>
      </c>
      <c r="I73" s="23" t="s">
        <v>97</v>
      </c>
      <c r="J73" s="25" t="n">
        <v>1187</v>
      </c>
      <c r="K73" s="26" t="n">
        <v>14</v>
      </c>
      <c r="L73" s="27" t="n">
        <f aca="false">J73*K73</f>
        <v>16618</v>
      </c>
      <c r="M73" s="25" t="n">
        <v>294</v>
      </c>
      <c r="N73" s="27" t="n">
        <f aca="false">IF(M73="",L73*参数假设!$C$10,M73)*K73</f>
        <v>4116</v>
      </c>
      <c r="O73" s="27" t="n">
        <f aca="false">L73-N73</f>
        <v>12502</v>
      </c>
      <c r="P73" s="28" t="n">
        <f aca="false">IF(L73=0,0,O73/L73)</f>
        <v>0.752316764953665</v>
      </c>
    </row>
    <row r="74" customFormat="false" ht="15" hidden="false" customHeight="false" outlineLevel="0" collapsed="false">
      <c r="A74" s="29" t="s">
        <v>168</v>
      </c>
      <c r="B74" s="30" t="n">
        <f aca="false">DATE(参数假设!$C$6,7,10)</f>
        <v>45848</v>
      </c>
      <c r="C74" s="31" t="n">
        <f aca="false">MONTH(B74)</f>
        <v>7</v>
      </c>
      <c r="D74" s="32" t="s">
        <v>73</v>
      </c>
      <c r="E74" s="32" t="s">
        <v>86</v>
      </c>
      <c r="F74" s="32" t="s">
        <v>75</v>
      </c>
      <c r="G74" s="29" t="s">
        <v>109</v>
      </c>
      <c r="H74" s="33" t="s">
        <v>110</v>
      </c>
      <c r="I74" s="32" t="s">
        <v>97</v>
      </c>
      <c r="J74" s="34" t="n">
        <v>1183</v>
      </c>
      <c r="K74" s="35" t="n">
        <v>26</v>
      </c>
      <c r="L74" s="27" t="n">
        <f aca="false">J74*K74</f>
        <v>30758</v>
      </c>
      <c r="M74" s="34" t="n">
        <v>291</v>
      </c>
      <c r="N74" s="27" t="n">
        <f aca="false">IF(M74="",L74*参数假设!$C$10,M74)*K74</f>
        <v>7566</v>
      </c>
      <c r="O74" s="27" t="n">
        <f aca="false">L74-N74</f>
        <v>23192</v>
      </c>
      <c r="P74" s="28" t="n">
        <f aca="false">IF(L74=0,0,O74/L74)</f>
        <v>0.754015215553677</v>
      </c>
    </row>
    <row r="75" customFormat="false" ht="15" hidden="false" customHeight="false" outlineLevel="0" collapsed="false">
      <c r="A75" s="20" t="s">
        <v>169</v>
      </c>
      <c r="B75" s="21" t="n">
        <f aca="false">DATE(参数假设!$C$6,7,11)</f>
        <v>45849</v>
      </c>
      <c r="C75" s="22" t="n">
        <f aca="false">MONTH(B75)</f>
        <v>7</v>
      </c>
      <c r="D75" s="23" t="s">
        <v>73</v>
      </c>
      <c r="E75" s="23" t="s">
        <v>74</v>
      </c>
      <c r="F75" s="23" t="s">
        <v>82</v>
      </c>
      <c r="G75" s="20" t="s">
        <v>95</v>
      </c>
      <c r="H75" s="24" t="s">
        <v>96</v>
      </c>
      <c r="I75" s="23" t="s">
        <v>97</v>
      </c>
      <c r="J75" s="25" t="n">
        <v>3806</v>
      </c>
      <c r="K75" s="26" t="n">
        <v>9</v>
      </c>
      <c r="L75" s="27" t="n">
        <f aca="false">J75*K75</f>
        <v>34254</v>
      </c>
      <c r="M75" s="25" t="n">
        <v>874</v>
      </c>
      <c r="N75" s="27" t="n">
        <f aca="false">IF(M75="",L75*参数假设!$C$10,M75)*K75</f>
        <v>7866</v>
      </c>
      <c r="O75" s="27" t="n">
        <f aca="false">L75-N75</f>
        <v>26388</v>
      </c>
      <c r="P75" s="28" t="n">
        <f aca="false">IF(L75=0,0,O75/L75)</f>
        <v>0.770362585391487</v>
      </c>
    </row>
    <row r="76" customFormat="false" ht="15" hidden="false" customHeight="false" outlineLevel="0" collapsed="false">
      <c r="A76" s="29" t="s">
        <v>170</v>
      </c>
      <c r="B76" s="30" t="n">
        <f aca="false">DATE(参数假设!$C$6,7,11)</f>
        <v>45849</v>
      </c>
      <c r="C76" s="31" t="n">
        <f aca="false">MONTH(B76)</f>
        <v>7</v>
      </c>
      <c r="D76" s="32" t="s">
        <v>99</v>
      </c>
      <c r="E76" s="32" t="s">
        <v>118</v>
      </c>
      <c r="F76" s="32" t="s">
        <v>75</v>
      </c>
      <c r="G76" s="29" t="s">
        <v>101</v>
      </c>
      <c r="H76" s="33" t="s">
        <v>102</v>
      </c>
      <c r="I76" s="32" t="s">
        <v>89</v>
      </c>
      <c r="J76" s="34" t="n">
        <v>1937</v>
      </c>
      <c r="K76" s="35" t="n">
        <v>4</v>
      </c>
      <c r="L76" s="27" t="n">
        <f aca="false">J76*K76</f>
        <v>7748</v>
      </c>
      <c r="M76" s="34" t="n">
        <v>1262</v>
      </c>
      <c r="N76" s="27" t="n">
        <f aca="false">IF(M76="",L76*参数假设!$C$10,M76)*K76</f>
        <v>5048</v>
      </c>
      <c r="O76" s="27" t="n">
        <f aca="false">L76-N76</f>
        <v>2700</v>
      </c>
      <c r="P76" s="28" t="n">
        <f aca="false">IF(L76=0,0,O76/L76)</f>
        <v>0.348477026329375</v>
      </c>
    </row>
    <row r="77" customFormat="false" ht="15" hidden="false" customHeight="false" outlineLevel="0" collapsed="false">
      <c r="A77" s="20" t="s">
        <v>171</v>
      </c>
      <c r="B77" s="21" t="n">
        <f aca="false">DATE(参数假设!$C$6,7,11)</f>
        <v>45849</v>
      </c>
      <c r="C77" s="22" t="n">
        <f aca="false">MONTH(B77)</f>
        <v>7</v>
      </c>
      <c r="D77" s="23" t="s">
        <v>73</v>
      </c>
      <c r="E77" s="23" t="s">
        <v>74</v>
      </c>
      <c r="F77" s="23" t="s">
        <v>82</v>
      </c>
      <c r="G77" s="20" t="s">
        <v>83</v>
      </c>
      <c r="H77" s="24" t="s">
        <v>84</v>
      </c>
      <c r="I77" s="23" t="s">
        <v>78</v>
      </c>
      <c r="J77" s="25" t="n">
        <v>769</v>
      </c>
      <c r="K77" s="26" t="n">
        <v>16</v>
      </c>
      <c r="L77" s="27" t="n">
        <f aca="false">J77*K77</f>
        <v>12304</v>
      </c>
      <c r="M77" s="25" t="n">
        <v>489</v>
      </c>
      <c r="N77" s="27" t="n">
        <f aca="false">IF(M77="",L77*参数假设!$C$10,M77)*K77</f>
        <v>7824</v>
      </c>
      <c r="O77" s="27" t="n">
        <f aca="false">L77-N77</f>
        <v>4480</v>
      </c>
      <c r="P77" s="28" t="n">
        <f aca="false">IF(L77=0,0,O77/L77)</f>
        <v>0.364109232769831</v>
      </c>
    </row>
    <row r="78" customFormat="false" ht="15" hidden="false" customHeight="false" outlineLevel="0" collapsed="false">
      <c r="A78" s="29" t="s">
        <v>172</v>
      </c>
      <c r="B78" s="30" t="n">
        <f aca="false">DATE(参数假设!$C$6,7,12)</f>
        <v>45850</v>
      </c>
      <c r="C78" s="31" t="n">
        <f aca="false">MONTH(B78)</f>
        <v>7</v>
      </c>
      <c r="D78" s="32" t="s">
        <v>80</v>
      </c>
      <c r="E78" s="32" t="s">
        <v>115</v>
      </c>
      <c r="F78" s="32" t="s">
        <v>75</v>
      </c>
      <c r="G78" s="29" t="s">
        <v>87</v>
      </c>
      <c r="H78" s="33" t="s">
        <v>88</v>
      </c>
      <c r="I78" s="32" t="s">
        <v>89</v>
      </c>
      <c r="J78" s="34" t="n">
        <v>4799</v>
      </c>
      <c r="K78" s="35" t="n">
        <v>5</v>
      </c>
      <c r="L78" s="27" t="n">
        <f aca="false">J78*K78</f>
        <v>23995</v>
      </c>
      <c r="M78" s="34" t="n">
        <v>3223</v>
      </c>
      <c r="N78" s="27" t="n">
        <f aca="false">IF(M78="",L78*参数假设!$C$10,M78)*K78</f>
        <v>16115</v>
      </c>
      <c r="O78" s="27" t="n">
        <f aca="false">L78-N78</f>
        <v>7880</v>
      </c>
      <c r="P78" s="28" t="n">
        <f aca="false">IF(L78=0,0,O78/L78)</f>
        <v>0.328401750364659</v>
      </c>
    </row>
    <row r="79" customFormat="false" ht="15" hidden="false" customHeight="false" outlineLevel="0" collapsed="false">
      <c r="A79" s="20" t="s">
        <v>173</v>
      </c>
      <c r="B79" s="21" t="n">
        <f aca="false">DATE(参数假设!$C$6,7,14)</f>
        <v>45852</v>
      </c>
      <c r="C79" s="22" t="n">
        <f aca="false">MONTH(B79)</f>
        <v>7</v>
      </c>
      <c r="D79" s="23" t="s">
        <v>99</v>
      </c>
      <c r="E79" s="23" t="s">
        <v>100</v>
      </c>
      <c r="F79" s="23" t="s">
        <v>75</v>
      </c>
      <c r="G79" s="20" t="s">
        <v>83</v>
      </c>
      <c r="H79" s="24" t="s">
        <v>84</v>
      </c>
      <c r="I79" s="23" t="s">
        <v>78</v>
      </c>
      <c r="J79" s="25" t="n">
        <v>811</v>
      </c>
      <c r="K79" s="26" t="n">
        <v>28</v>
      </c>
      <c r="L79" s="27" t="n">
        <f aca="false">J79*K79</f>
        <v>22708</v>
      </c>
      <c r="M79" s="25" t="n">
        <v>497</v>
      </c>
      <c r="N79" s="27" t="n">
        <f aca="false">IF(M79="",L79*参数假设!$C$10,M79)*K79</f>
        <v>13916</v>
      </c>
      <c r="O79" s="27" t="n">
        <f aca="false">L79-N79</f>
        <v>8792</v>
      </c>
      <c r="P79" s="28" t="n">
        <f aca="false">IF(L79=0,0,O79/L79)</f>
        <v>0.387176325524044</v>
      </c>
    </row>
    <row r="80" customFormat="false" ht="15" hidden="false" customHeight="false" outlineLevel="0" collapsed="false">
      <c r="A80" s="29" t="s">
        <v>174</v>
      </c>
      <c r="B80" s="30" t="n">
        <f aca="false">DATE(参数假设!$C$6,7,15)</f>
        <v>45853</v>
      </c>
      <c r="C80" s="31" t="n">
        <f aca="false">MONTH(B80)</f>
        <v>7</v>
      </c>
      <c r="D80" s="32" t="s">
        <v>92</v>
      </c>
      <c r="E80" s="32" t="s">
        <v>93</v>
      </c>
      <c r="F80" s="32" t="s">
        <v>75</v>
      </c>
      <c r="G80" s="29" t="s">
        <v>76</v>
      </c>
      <c r="H80" s="33" t="s">
        <v>77</v>
      </c>
      <c r="I80" s="32" t="s">
        <v>78</v>
      </c>
      <c r="J80" s="34" t="n">
        <v>466</v>
      </c>
      <c r="K80" s="35" t="n">
        <v>20</v>
      </c>
      <c r="L80" s="27" t="n">
        <f aca="false">J80*K80</f>
        <v>9320</v>
      </c>
      <c r="M80" s="34" t="n">
        <v>299</v>
      </c>
      <c r="N80" s="27" t="n">
        <f aca="false">IF(M80="",L80*参数假设!$C$10,M80)*K80</f>
        <v>5980</v>
      </c>
      <c r="O80" s="27" t="n">
        <f aca="false">L80-N80</f>
        <v>3340</v>
      </c>
      <c r="P80" s="28" t="n">
        <f aca="false">IF(L80=0,0,O80/L80)</f>
        <v>0.358369098712446</v>
      </c>
    </row>
    <row r="81" customFormat="false" ht="15" hidden="false" customHeight="false" outlineLevel="0" collapsed="false">
      <c r="A81" s="20" t="s">
        <v>175</v>
      </c>
      <c r="B81" s="21" t="n">
        <f aca="false">DATE(参数假设!$C$6,7,16)</f>
        <v>45854</v>
      </c>
      <c r="C81" s="22" t="n">
        <f aca="false">MONTH(B81)</f>
        <v>7</v>
      </c>
      <c r="D81" s="23" t="s">
        <v>80</v>
      </c>
      <c r="E81" s="23" t="s">
        <v>115</v>
      </c>
      <c r="F81" s="23" t="s">
        <v>82</v>
      </c>
      <c r="G81" s="20" t="s">
        <v>95</v>
      </c>
      <c r="H81" s="24" t="s">
        <v>96</v>
      </c>
      <c r="I81" s="23" t="s">
        <v>97</v>
      </c>
      <c r="J81" s="25" t="n">
        <v>3856</v>
      </c>
      <c r="K81" s="26" t="n">
        <v>4</v>
      </c>
      <c r="L81" s="27" t="n">
        <f aca="false">J81*K81</f>
        <v>15424</v>
      </c>
      <c r="M81" s="25" t="n">
        <v>891</v>
      </c>
      <c r="N81" s="27" t="n">
        <f aca="false">IF(M81="",L81*参数假设!$C$10,M81)*K81</f>
        <v>3564</v>
      </c>
      <c r="O81" s="27" t="n">
        <f aca="false">L81-N81</f>
        <v>11860</v>
      </c>
      <c r="P81" s="28" t="n">
        <f aca="false">IF(L81=0,0,O81/L81)</f>
        <v>0.76893153526971</v>
      </c>
    </row>
    <row r="82" customFormat="false" ht="15" hidden="false" customHeight="false" outlineLevel="0" collapsed="false">
      <c r="A82" s="29" t="s">
        <v>176</v>
      </c>
      <c r="B82" s="30" t="n">
        <f aca="false">DATE(参数假设!$C$6,7,18)</f>
        <v>45856</v>
      </c>
      <c r="C82" s="31" t="n">
        <f aca="false">MONTH(B82)</f>
        <v>7</v>
      </c>
      <c r="D82" s="32" t="s">
        <v>99</v>
      </c>
      <c r="E82" s="32" t="s">
        <v>118</v>
      </c>
      <c r="F82" s="32" t="s">
        <v>61</v>
      </c>
      <c r="G82" s="29" t="s">
        <v>101</v>
      </c>
      <c r="H82" s="33" t="s">
        <v>102</v>
      </c>
      <c r="I82" s="32" t="s">
        <v>89</v>
      </c>
      <c r="J82" s="34" t="n">
        <v>1968</v>
      </c>
      <c r="K82" s="35" t="n">
        <v>5</v>
      </c>
      <c r="L82" s="27" t="n">
        <f aca="false">J82*K82</f>
        <v>9840</v>
      </c>
      <c r="M82" s="34" t="n">
        <v>1309</v>
      </c>
      <c r="N82" s="27" t="n">
        <f aca="false">IF(M82="",L82*参数假设!$C$10,M82)*K82</f>
        <v>6545</v>
      </c>
      <c r="O82" s="27" t="n">
        <f aca="false">L82-N82</f>
        <v>3295</v>
      </c>
      <c r="P82" s="28" t="n">
        <f aca="false">IF(L82=0,0,O82/L82)</f>
        <v>0.334857723577236</v>
      </c>
    </row>
    <row r="83" customFormat="false" ht="15" hidden="false" customHeight="false" outlineLevel="0" collapsed="false">
      <c r="A83" s="20" t="s">
        <v>177</v>
      </c>
      <c r="B83" s="21" t="n">
        <f aca="false">DATE(参数假设!$C$6,7,20)</f>
        <v>45858</v>
      </c>
      <c r="C83" s="22" t="n">
        <f aca="false">MONTH(B83)</f>
        <v>7</v>
      </c>
      <c r="D83" s="23" t="s">
        <v>92</v>
      </c>
      <c r="E83" s="23" t="s">
        <v>105</v>
      </c>
      <c r="F83" s="23" t="s">
        <v>75</v>
      </c>
      <c r="G83" s="20" t="s">
        <v>87</v>
      </c>
      <c r="H83" s="24" t="s">
        <v>88</v>
      </c>
      <c r="I83" s="23" t="s">
        <v>89</v>
      </c>
      <c r="J83" s="25" t="n">
        <v>4871</v>
      </c>
      <c r="K83" s="26" t="n">
        <v>10</v>
      </c>
      <c r="L83" s="27" t="n">
        <f aca="false">J83*K83</f>
        <v>48710</v>
      </c>
      <c r="M83" s="25" t="n">
        <v>3216</v>
      </c>
      <c r="N83" s="27" t="n">
        <f aca="false">IF(M83="",L83*参数假设!$C$10,M83)*K83</f>
        <v>32160</v>
      </c>
      <c r="O83" s="27" t="n">
        <f aca="false">L83-N83</f>
        <v>16550</v>
      </c>
      <c r="P83" s="28" t="n">
        <f aca="false">IF(L83=0,0,O83/L83)</f>
        <v>0.339765961814822</v>
      </c>
    </row>
    <row r="84" customFormat="false" ht="15" hidden="false" customHeight="false" outlineLevel="0" collapsed="false">
      <c r="A84" s="29" t="s">
        <v>178</v>
      </c>
      <c r="B84" s="30" t="n">
        <f aca="false">DATE(参数假设!$C$6,8,1)</f>
        <v>45870</v>
      </c>
      <c r="C84" s="31" t="n">
        <f aca="false">MONTH(B84)</f>
        <v>8</v>
      </c>
      <c r="D84" s="32" t="s">
        <v>73</v>
      </c>
      <c r="E84" s="32" t="s">
        <v>86</v>
      </c>
      <c r="F84" s="32" t="s">
        <v>61</v>
      </c>
      <c r="G84" s="29" t="s">
        <v>87</v>
      </c>
      <c r="H84" s="33" t="s">
        <v>88</v>
      </c>
      <c r="I84" s="32" t="s">
        <v>89</v>
      </c>
      <c r="J84" s="34" t="n">
        <v>5245</v>
      </c>
      <c r="K84" s="35" t="n">
        <v>11</v>
      </c>
      <c r="L84" s="27" t="n">
        <f aca="false">J84*K84</f>
        <v>57695</v>
      </c>
      <c r="M84" s="34" t="n">
        <v>3335</v>
      </c>
      <c r="N84" s="27" t="n">
        <f aca="false">IF(M84="",L84*参数假设!$C$10,M84)*K84</f>
        <v>36685</v>
      </c>
      <c r="O84" s="27" t="n">
        <f aca="false">L84-N84</f>
        <v>21010</v>
      </c>
      <c r="P84" s="28" t="n">
        <f aca="false">IF(L84=0,0,O84/L84)</f>
        <v>0.364156339370829</v>
      </c>
    </row>
    <row r="85" customFormat="false" ht="15" hidden="false" customHeight="false" outlineLevel="0" collapsed="false">
      <c r="A85" s="20" t="s">
        <v>179</v>
      </c>
      <c r="B85" s="21" t="n">
        <f aca="false">DATE(参数假设!$C$6,8,2)</f>
        <v>45871</v>
      </c>
      <c r="C85" s="22" t="n">
        <f aca="false">MONTH(B85)</f>
        <v>8</v>
      </c>
      <c r="D85" s="23" t="s">
        <v>92</v>
      </c>
      <c r="E85" s="23" t="s">
        <v>105</v>
      </c>
      <c r="F85" s="23" t="s">
        <v>75</v>
      </c>
      <c r="G85" s="20" t="s">
        <v>83</v>
      </c>
      <c r="H85" s="24" t="s">
        <v>84</v>
      </c>
      <c r="I85" s="23" t="s">
        <v>78</v>
      </c>
      <c r="J85" s="25" t="n">
        <v>790</v>
      </c>
      <c r="K85" s="26" t="n">
        <v>24</v>
      </c>
      <c r="L85" s="27" t="n">
        <f aca="false">J85*K85</f>
        <v>18960</v>
      </c>
      <c r="M85" s="25" t="n">
        <v>462</v>
      </c>
      <c r="N85" s="27" t="n">
        <f aca="false">IF(M85="",L85*参数假设!$C$10,M85)*K85</f>
        <v>11088</v>
      </c>
      <c r="O85" s="27" t="n">
        <f aca="false">L85-N85</f>
        <v>7872</v>
      </c>
      <c r="P85" s="28" t="n">
        <f aca="false">IF(L85=0,0,O85/L85)</f>
        <v>0.415189873417722</v>
      </c>
    </row>
    <row r="86" customFormat="false" ht="15" hidden="false" customHeight="false" outlineLevel="0" collapsed="false">
      <c r="A86" s="29" t="s">
        <v>180</v>
      </c>
      <c r="B86" s="30" t="n">
        <f aca="false">DATE(参数假设!$C$6,8,3)</f>
        <v>45872</v>
      </c>
      <c r="C86" s="31" t="n">
        <f aca="false">MONTH(B86)</f>
        <v>8</v>
      </c>
      <c r="D86" s="32" t="s">
        <v>73</v>
      </c>
      <c r="E86" s="32" t="s">
        <v>86</v>
      </c>
      <c r="F86" s="32" t="s">
        <v>82</v>
      </c>
      <c r="G86" s="29" t="s">
        <v>109</v>
      </c>
      <c r="H86" s="33" t="s">
        <v>110</v>
      </c>
      <c r="I86" s="32" t="s">
        <v>97</v>
      </c>
      <c r="J86" s="34" t="n">
        <v>1159</v>
      </c>
      <c r="K86" s="35" t="n">
        <v>8</v>
      </c>
      <c r="L86" s="27" t="n">
        <f aca="false">J86*K86</f>
        <v>9272</v>
      </c>
      <c r="M86" s="34" t="n">
        <v>298</v>
      </c>
      <c r="N86" s="27" t="n">
        <f aca="false">IF(M86="",L86*参数假设!$C$10,M86)*K86</f>
        <v>2384</v>
      </c>
      <c r="O86" s="27" t="n">
        <f aca="false">L86-N86</f>
        <v>6888</v>
      </c>
      <c r="P86" s="28" t="n">
        <f aca="false">IF(L86=0,0,O86/L86)</f>
        <v>0.742881794650561</v>
      </c>
    </row>
    <row r="87" customFormat="false" ht="15" hidden="false" customHeight="false" outlineLevel="0" collapsed="false">
      <c r="A87" s="20" t="s">
        <v>181</v>
      </c>
      <c r="B87" s="21" t="n">
        <f aca="false">DATE(参数假设!$C$6,8,4)</f>
        <v>45873</v>
      </c>
      <c r="C87" s="22" t="n">
        <f aca="false">MONTH(B87)</f>
        <v>8</v>
      </c>
      <c r="D87" s="23" t="s">
        <v>80</v>
      </c>
      <c r="E87" s="23" t="s">
        <v>115</v>
      </c>
      <c r="F87" s="23" t="s">
        <v>75</v>
      </c>
      <c r="G87" s="20" t="s">
        <v>83</v>
      </c>
      <c r="H87" s="24" t="s">
        <v>84</v>
      </c>
      <c r="I87" s="23" t="s">
        <v>78</v>
      </c>
      <c r="J87" s="25" t="n">
        <v>765</v>
      </c>
      <c r="K87" s="26" t="n">
        <v>19</v>
      </c>
      <c r="L87" s="27" t="n">
        <f aca="false">J87*K87</f>
        <v>14535</v>
      </c>
      <c r="M87" s="25" t="n">
        <v>464</v>
      </c>
      <c r="N87" s="27" t="n">
        <f aca="false">IF(M87="",L87*参数假设!$C$10,M87)*K87</f>
        <v>8816</v>
      </c>
      <c r="O87" s="27" t="n">
        <f aca="false">L87-N87</f>
        <v>5719</v>
      </c>
      <c r="P87" s="28" t="n">
        <f aca="false">IF(L87=0,0,O87/L87)</f>
        <v>0.393464052287582</v>
      </c>
    </row>
    <row r="88" customFormat="false" ht="15" hidden="false" customHeight="false" outlineLevel="0" collapsed="false">
      <c r="A88" s="29" t="s">
        <v>182</v>
      </c>
      <c r="B88" s="30" t="n">
        <f aca="false">DATE(参数假设!$C$6,8,11)</f>
        <v>45880</v>
      </c>
      <c r="C88" s="31" t="n">
        <f aca="false">MONTH(B88)</f>
        <v>8</v>
      </c>
      <c r="D88" s="32" t="s">
        <v>80</v>
      </c>
      <c r="E88" s="32" t="s">
        <v>115</v>
      </c>
      <c r="F88" s="32" t="s">
        <v>82</v>
      </c>
      <c r="G88" s="29" t="s">
        <v>83</v>
      </c>
      <c r="H88" s="33" t="s">
        <v>84</v>
      </c>
      <c r="I88" s="32" t="s">
        <v>78</v>
      </c>
      <c r="J88" s="34" t="n">
        <v>743</v>
      </c>
      <c r="K88" s="35" t="n">
        <v>14</v>
      </c>
      <c r="L88" s="27" t="n">
        <f aca="false">J88*K88</f>
        <v>10402</v>
      </c>
      <c r="M88" s="34" t="n">
        <v>456</v>
      </c>
      <c r="N88" s="27" t="n">
        <f aca="false">IF(M88="",L88*参数假设!$C$10,M88)*K88</f>
        <v>6384</v>
      </c>
      <c r="O88" s="27" t="n">
        <f aca="false">L88-N88</f>
        <v>4018</v>
      </c>
      <c r="P88" s="28" t="n">
        <f aca="false">IF(L88=0,0,O88/L88)</f>
        <v>0.386271870794078</v>
      </c>
    </row>
    <row r="89" customFormat="false" ht="15" hidden="false" customHeight="false" outlineLevel="0" collapsed="false">
      <c r="A89" s="20" t="s">
        <v>183</v>
      </c>
      <c r="B89" s="21" t="n">
        <f aca="false">DATE(参数假设!$C$6,8,14)</f>
        <v>45883</v>
      </c>
      <c r="C89" s="22" t="n">
        <f aca="false">MONTH(B89)</f>
        <v>8</v>
      </c>
      <c r="D89" s="23" t="s">
        <v>73</v>
      </c>
      <c r="E89" s="23" t="s">
        <v>86</v>
      </c>
      <c r="F89" s="23" t="s">
        <v>75</v>
      </c>
      <c r="G89" s="20" t="s">
        <v>87</v>
      </c>
      <c r="H89" s="24" t="s">
        <v>88</v>
      </c>
      <c r="I89" s="23" t="s">
        <v>89</v>
      </c>
      <c r="J89" s="25" t="n">
        <v>5198</v>
      </c>
      <c r="K89" s="26" t="n">
        <v>5</v>
      </c>
      <c r="L89" s="27" t="n">
        <f aca="false">J89*K89</f>
        <v>25990</v>
      </c>
      <c r="M89" s="25" t="n">
        <v>3265</v>
      </c>
      <c r="N89" s="27" t="n">
        <f aca="false">IF(M89="",L89*参数假设!$C$10,M89)*K89</f>
        <v>16325</v>
      </c>
      <c r="O89" s="27" t="n">
        <f aca="false">L89-N89</f>
        <v>9665</v>
      </c>
      <c r="P89" s="28" t="n">
        <f aca="false">IF(L89=0,0,O89/L89)</f>
        <v>0.371873797614467</v>
      </c>
    </row>
    <row r="90" customFormat="false" ht="15" hidden="false" customHeight="false" outlineLevel="0" collapsed="false">
      <c r="A90" s="29" t="s">
        <v>184</v>
      </c>
      <c r="B90" s="30" t="n">
        <f aca="false">DATE(参数假设!$C$6,8,18)</f>
        <v>45887</v>
      </c>
      <c r="C90" s="31" t="n">
        <f aca="false">MONTH(B90)</f>
        <v>8</v>
      </c>
      <c r="D90" s="32" t="s">
        <v>99</v>
      </c>
      <c r="E90" s="32" t="s">
        <v>100</v>
      </c>
      <c r="F90" s="32" t="s">
        <v>61</v>
      </c>
      <c r="G90" s="29" t="s">
        <v>109</v>
      </c>
      <c r="H90" s="33" t="s">
        <v>110</v>
      </c>
      <c r="I90" s="32" t="s">
        <v>97</v>
      </c>
      <c r="J90" s="34" t="n">
        <v>1205</v>
      </c>
      <c r="K90" s="35" t="n">
        <v>15</v>
      </c>
      <c r="L90" s="27" t="n">
        <f aca="false">J90*K90</f>
        <v>18075</v>
      </c>
      <c r="M90" s="34" t="n">
        <v>291</v>
      </c>
      <c r="N90" s="27" t="n">
        <f aca="false">IF(M90="",L90*参数假设!$C$10,M90)*K90</f>
        <v>4365</v>
      </c>
      <c r="O90" s="27" t="n">
        <f aca="false">L90-N90</f>
        <v>13710</v>
      </c>
      <c r="P90" s="28" t="n">
        <f aca="false">IF(L90=0,0,O90/L90)</f>
        <v>0.75850622406639</v>
      </c>
    </row>
    <row r="91" customFormat="false" ht="15" hidden="false" customHeight="false" outlineLevel="0" collapsed="false">
      <c r="A91" s="20" t="s">
        <v>185</v>
      </c>
      <c r="B91" s="21" t="n">
        <f aca="false">DATE(参数假设!$C$6,8,20)</f>
        <v>45889</v>
      </c>
      <c r="C91" s="22" t="n">
        <f aca="false">MONTH(B91)</f>
        <v>8</v>
      </c>
      <c r="D91" s="23" t="s">
        <v>73</v>
      </c>
      <c r="E91" s="23" t="s">
        <v>74</v>
      </c>
      <c r="F91" s="23" t="s">
        <v>75</v>
      </c>
      <c r="G91" s="20" t="s">
        <v>83</v>
      </c>
      <c r="H91" s="24" t="s">
        <v>84</v>
      </c>
      <c r="I91" s="23" t="s">
        <v>78</v>
      </c>
      <c r="J91" s="25" t="n">
        <v>770</v>
      </c>
      <c r="K91" s="26" t="n">
        <v>3</v>
      </c>
      <c r="L91" s="27" t="n">
        <f aca="false">J91*K91</f>
        <v>2310</v>
      </c>
      <c r="M91" s="25" t="n">
        <v>477</v>
      </c>
      <c r="N91" s="27" t="n">
        <f aca="false">IF(M91="",L91*参数假设!$C$10,M91)*K91</f>
        <v>1431</v>
      </c>
      <c r="O91" s="27" t="n">
        <f aca="false">L91-N91</f>
        <v>879</v>
      </c>
      <c r="P91" s="28" t="n">
        <f aca="false">IF(L91=0,0,O91/L91)</f>
        <v>0.380519480519481</v>
      </c>
    </row>
    <row r="92" customFormat="false" ht="15" hidden="false" customHeight="false" outlineLevel="0" collapsed="false">
      <c r="A92" s="29" t="s">
        <v>186</v>
      </c>
      <c r="B92" s="30" t="n">
        <f aca="false">DATE(参数假设!$C$6,8,22)</f>
        <v>45891</v>
      </c>
      <c r="C92" s="31" t="n">
        <f aca="false">MONTH(B92)</f>
        <v>8</v>
      </c>
      <c r="D92" s="32" t="s">
        <v>99</v>
      </c>
      <c r="E92" s="32" t="s">
        <v>118</v>
      </c>
      <c r="F92" s="32" t="s">
        <v>61</v>
      </c>
      <c r="G92" s="29" t="s">
        <v>76</v>
      </c>
      <c r="H92" s="33" t="s">
        <v>77</v>
      </c>
      <c r="I92" s="32" t="s">
        <v>78</v>
      </c>
      <c r="J92" s="34" t="n">
        <v>467</v>
      </c>
      <c r="K92" s="35" t="n">
        <v>26</v>
      </c>
      <c r="L92" s="27" t="n">
        <f aca="false">J92*K92</f>
        <v>12142</v>
      </c>
      <c r="M92" s="34" t="n">
        <v>317</v>
      </c>
      <c r="N92" s="27" t="n">
        <f aca="false">IF(M92="",L92*参数假设!$C$10,M92)*K92</f>
        <v>8242</v>
      </c>
      <c r="O92" s="27" t="n">
        <f aca="false">L92-N92</f>
        <v>3900</v>
      </c>
      <c r="P92" s="28" t="n">
        <f aca="false">IF(L92=0,0,O92/L92)</f>
        <v>0.321199143468951</v>
      </c>
    </row>
    <row r="93" customFormat="false" ht="15" hidden="false" customHeight="false" outlineLevel="0" collapsed="false">
      <c r="A93" s="20" t="s">
        <v>187</v>
      </c>
      <c r="B93" s="21" t="n">
        <f aca="false">DATE(参数假设!$C$6,9,6)</f>
        <v>45906</v>
      </c>
      <c r="C93" s="22" t="n">
        <f aca="false">MONTH(B93)</f>
        <v>9</v>
      </c>
      <c r="D93" s="23" t="s">
        <v>92</v>
      </c>
      <c r="E93" s="23" t="s">
        <v>93</v>
      </c>
      <c r="F93" s="23" t="s">
        <v>82</v>
      </c>
      <c r="G93" s="20" t="s">
        <v>101</v>
      </c>
      <c r="H93" s="24" t="s">
        <v>102</v>
      </c>
      <c r="I93" s="23" t="s">
        <v>89</v>
      </c>
      <c r="J93" s="25" t="n">
        <v>2055</v>
      </c>
      <c r="K93" s="26" t="n">
        <v>7</v>
      </c>
      <c r="L93" s="27" t="n">
        <f aca="false">J93*K93</f>
        <v>14385</v>
      </c>
      <c r="M93" s="25" t="n">
        <v>1326</v>
      </c>
      <c r="N93" s="27" t="n">
        <f aca="false">IF(M93="",L93*参数假设!$C$10,M93)*K93</f>
        <v>9282</v>
      </c>
      <c r="O93" s="27" t="n">
        <f aca="false">L93-N93</f>
        <v>5103</v>
      </c>
      <c r="P93" s="28" t="n">
        <f aca="false">IF(L93=0,0,O93/L93)</f>
        <v>0.354744525547445</v>
      </c>
    </row>
    <row r="94" customFormat="false" ht="15" hidden="false" customHeight="false" outlineLevel="0" collapsed="false">
      <c r="A94" s="29" t="s">
        <v>188</v>
      </c>
      <c r="B94" s="30" t="n">
        <f aca="false">DATE(参数假设!$C$6,9,6)</f>
        <v>45906</v>
      </c>
      <c r="C94" s="31" t="n">
        <f aca="false">MONTH(B94)</f>
        <v>9</v>
      </c>
      <c r="D94" s="32" t="s">
        <v>80</v>
      </c>
      <c r="E94" s="32" t="s">
        <v>115</v>
      </c>
      <c r="F94" s="32" t="s">
        <v>82</v>
      </c>
      <c r="G94" s="29" t="s">
        <v>87</v>
      </c>
      <c r="H94" s="33" t="s">
        <v>88</v>
      </c>
      <c r="I94" s="32" t="s">
        <v>89</v>
      </c>
      <c r="J94" s="34" t="n">
        <v>5206</v>
      </c>
      <c r="K94" s="35" t="n">
        <v>13</v>
      </c>
      <c r="L94" s="27" t="n">
        <f aca="false">J94*K94</f>
        <v>67678</v>
      </c>
      <c r="M94" s="34" t="n">
        <v>3152</v>
      </c>
      <c r="N94" s="27" t="n">
        <f aca="false">IF(M94="",L94*参数假设!$C$10,M94)*K94</f>
        <v>40976</v>
      </c>
      <c r="O94" s="27" t="n">
        <f aca="false">L94-N94</f>
        <v>26702</v>
      </c>
      <c r="P94" s="28" t="n">
        <f aca="false">IF(L94=0,0,O94/L94)</f>
        <v>0.394544756050711</v>
      </c>
    </row>
    <row r="95" customFormat="false" ht="15" hidden="false" customHeight="false" outlineLevel="0" collapsed="false">
      <c r="A95" s="20" t="s">
        <v>189</v>
      </c>
      <c r="B95" s="21" t="n">
        <f aca="false">DATE(参数假设!$C$6,9,6)</f>
        <v>45906</v>
      </c>
      <c r="C95" s="22" t="n">
        <f aca="false">MONTH(B95)</f>
        <v>9</v>
      </c>
      <c r="D95" s="23" t="s">
        <v>80</v>
      </c>
      <c r="E95" s="23" t="s">
        <v>115</v>
      </c>
      <c r="F95" s="23" t="s">
        <v>82</v>
      </c>
      <c r="G95" s="20" t="s">
        <v>87</v>
      </c>
      <c r="H95" s="24" t="s">
        <v>88</v>
      </c>
      <c r="I95" s="23" t="s">
        <v>89</v>
      </c>
      <c r="J95" s="25" t="n">
        <v>5256</v>
      </c>
      <c r="K95" s="26" t="n">
        <v>15</v>
      </c>
      <c r="L95" s="27" t="n">
        <f aca="false">J95*K95</f>
        <v>78840</v>
      </c>
      <c r="M95" s="25" t="n">
        <v>3162</v>
      </c>
      <c r="N95" s="27" t="n">
        <f aca="false">IF(M95="",L95*参数假设!$C$10,M95)*K95</f>
        <v>47430</v>
      </c>
      <c r="O95" s="27" t="n">
        <f aca="false">L95-N95</f>
        <v>31410</v>
      </c>
      <c r="P95" s="28" t="n">
        <f aca="false">IF(L95=0,0,O95/L95)</f>
        <v>0.398401826484018</v>
      </c>
    </row>
    <row r="96" customFormat="false" ht="15" hidden="false" customHeight="false" outlineLevel="0" collapsed="false">
      <c r="A96" s="29" t="s">
        <v>190</v>
      </c>
      <c r="B96" s="30" t="n">
        <f aca="false">DATE(参数假设!$C$6,9,11)</f>
        <v>45911</v>
      </c>
      <c r="C96" s="31" t="n">
        <f aca="false">MONTH(B96)</f>
        <v>9</v>
      </c>
      <c r="D96" s="32" t="s">
        <v>99</v>
      </c>
      <c r="E96" s="32" t="s">
        <v>118</v>
      </c>
      <c r="F96" s="32" t="s">
        <v>82</v>
      </c>
      <c r="G96" s="29" t="s">
        <v>101</v>
      </c>
      <c r="H96" s="33" t="s">
        <v>102</v>
      </c>
      <c r="I96" s="32" t="s">
        <v>89</v>
      </c>
      <c r="J96" s="34" t="n">
        <v>2152</v>
      </c>
      <c r="K96" s="35" t="n">
        <v>27</v>
      </c>
      <c r="L96" s="27" t="n">
        <f aca="false">J96*K96</f>
        <v>58104</v>
      </c>
      <c r="M96" s="34" t="n">
        <v>1340</v>
      </c>
      <c r="N96" s="27" t="n">
        <f aca="false">IF(M96="",L96*参数假设!$C$10,M96)*K96</f>
        <v>36180</v>
      </c>
      <c r="O96" s="27" t="n">
        <f aca="false">L96-N96</f>
        <v>21924</v>
      </c>
      <c r="P96" s="28" t="n">
        <f aca="false">IF(L96=0,0,O96/L96)</f>
        <v>0.377323420074349</v>
      </c>
    </row>
    <row r="97" customFormat="false" ht="15" hidden="false" customHeight="false" outlineLevel="0" collapsed="false">
      <c r="A97" s="20" t="s">
        <v>191</v>
      </c>
      <c r="B97" s="21" t="n">
        <f aca="false">DATE(参数假设!$C$6,9,14)</f>
        <v>45914</v>
      </c>
      <c r="C97" s="22" t="n">
        <f aca="false">MONTH(B97)</f>
        <v>9</v>
      </c>
      <c r="D97" s="23" t="s">
        <v>73</v>
      </c>
      <c r="E97" s="23" t="s">
        <v>74</v>
      </c>
      <c r="F97" s="23" t="s">
        <v>82</v>
      </c>
      <c r="G97" s="20" t="s">
        <v>83</v>
      </c>
      <c r="H97" s="24" t="s">
        <v>84</v>
      </c>
      <c r="I97" s="23" t="s">
        <v>78</v>
      </c>
      <c r="J97" s="25" t="n">
        <v>746</v>
      </c>
      <c r="K97" s="26" t="n">
        <v>4</v>
      </c>
      <c r="L97" s="27" t="n">
        <f aca="false">J97*K97</f>
        <v>2984</v>
      </c>
      <c r="M97" s="25" t="n">
        <v>488</v>
      </c>
      <c r="N97" s="27" t="n">
        <f aca="false">IF(M97="",L97*参数假设!$C$10,M97)*K97</f>
        <v>1952</v>
      </c>
      <c r="O97" s="27" t="n">
        <f aca="false">L97-N97</f>
        <v>1032</v>
      </c>
      <c r="P97" s="28" t="n">
        <f aca="false">IF(L97=0,0,O97/L97)</f>
        <v>0.345844504021448</v>
      </c>
    </row>
    <row r="98" customFormat="false" ht="15" hidden="false" customHeight="false" outlineLevel="0" collapsed="false">
      <c r="A98" s="29" t="s">
        <v>192</v>
      </c>
      <c r="B98" s="30" t="n">
        <f aca="false">DATE(参数假设!$C$6,9,15)</f>
        <v>45915</v>
      </c>
      <c r="C98" s="31" t="n">
        <f aca="false">MONTH(B98)</f>
        <v>9</v>
      </c>
      <c r="D98" s="32" t="s">
        <v>80</v>
      </c>
      <c r="E98" s="32" t="s">
        <v>81</v>
      </c>
      <c r="F98" s="32" t="s">
        <v>82</v>
      </c>
      <c r="G98" s="29" t="s">
        <v>95</v>
      </c>
      <c r="H98" s="33" t="s">
        <v>96</v>
      </c>
      <c r="I98" s="32" t="s">
        <v>97</v>
      </c>
      <c r="J98" s="34" t="n">
        <v>3645</v>
      </c>
      <c r="K98" s="35" t="n">
        <v>1</v>
      </c>
      <c r="L98" s="27" t="n">
        <f aca="false">J98*K98</f>
        <v>3645</v>
      </c>
      <c r="M98" s="34" t="n">
        <v>944</v>
      </c>
      <c r="N98" s="27" t="n">
        <f aca="false">IF(M98="",L98*参数假设!$C$10,M98)*K98</f>
        <v>944</v>
      </c>
      <c r="O98" s="27" t="n">
        <f aca="false">L98-N98</f>
        <v>2701</v>
      </c>
      <c r="P98" s="28" t="n">
        <f aca="false">IF(L98=0,0,O98/L98)</f>
        <v>0.741015089163237</v>
      </c>
    </row>
    <row r="99" customFormat="false" ht="15" hidden="false" customHeight="false" outlineLevel="0" collapsed="false">
      <c r="A99" s="20" t="s">
        <v>193</v>
      </c>
      <c r="B99" s="21" t="n">
        <f aca="false">DATE(参数假设!$C$6,9,16)</f>
        <v>45916</v>
      </c>
      <c r="C99" s="22" t="n">
        <f aca="false">MONTH(B99)</f>
        <v>9</v>
      </c>
      <c r="D99" s="23" t="s">
        <v>73</v>
      </c>
      <c r="E99" s="23" t="s">
        <v>86</v>
      </c>
      <c r="F99" s="23" t="s">
        <v>61</v>
      </c>
      <c r="G99" s="20" t="s">
        <v>87</v>
      </c>
      <c r="H99" s="24" t="s">
        <v>88</v>
      </c>
      <c r="I99" s="23" t="s">
        <v>89</v>
      </c>
      <c r="J99" s="25" t="n">
        <v>4960</v>
      </c>
      <c r="K99" s="26" t="n">
        <v>5</v>
      </c>
      <c r="L99" s="27" t="n">
        <f aca="false">J99*K99</f>
        <v>24800</v>
      </c>
      <c r="M99" s="25" t="n">
        <v>3128</v>
      </c>
      <c r="N99" s="27" t="n">
        <f aca="false">IF(M99="",L99*参数假设!$C$10,M99)*K99</f>
        <v>15640</v>
      </c>
      <c r="O99" s="27" t="n">
        <f aca="false">L99-N99</f>
        <v>9160</v>
      </c>
      <c r="P99" s="28" t="n">
        <f aca="false">IF(L99=0,0,O99/L99)</f>
        <v>0.369354838709677</v>
      </c>
    </row>
    <row r="100" customFormat="false" ht="15" hidden="false" customHeight="false" outlineLevel="0" collapsed="false">
      <c r="A100" s="29" t="s">
        <v>194</v>
      </c>
      <c r="B100" s="30" t="n">
        <f aca="false">DATE(参数假设!$C$6,9,17)</f>
        <v>45917</v>
      </c>
      <c r="C100" s="31" t="n">
        <f aca="false">MONTH(B100)</f>
        <v>9</v>
      </c>
      <c r="D100" s="32" t="s">
        <v>73</v>
      </c>
      <c r="E100" s="32" t="s">
        <v>74</v>
      </c>
      <c r="F100" s="32" t="s">
        <v>61</v>
      </c>
      <c r="G100" s="29" t="s">
        <v>83</v>
      </c>
      <c r="H100" s="33" t="s">
        <v>84</v>
      </c>
      <c r="I100" s="32" t="s">
        <v>78</v>
      </c>
      <c r="J100" s="34" t="n">
        <v>728</v>
      </c>
      <c r="K100" s="35" t="n">
        <v>4</v>
      </c>
      <c r="L100" s="27" t="n">
        <f aca="false">J100*K100</f>
        <v>2912</v>
      </c>
      <c r="M100" s="34" t="n">
        <v>480</v>
      </c>
      <c r="N100" s="27" t="n">
        <f aca="false">IF(M100="",L100*参数假设!$C$10,M100)*K100</f>
        <v>1920</v>
      </c>
      <c r="O100" s="27" t="n">
        <f aca="false">L100-N100</f>
        <v>992</v>
      </c>
      <c r="P100" s="28" t="n">
        <f aca="false">IF(L100=0,0,O100/L100)</f>
        <v>0.340659340659341</v>
      </c>
    </row>
    <row r="101" customFormat="false" ht="15" hidden="false" customHeight="false" outlineLevel="0" collapsed="false">
      <c r="A101" s="20" t="s">
        <v>195</v>
      </c>
      <c r="B101" s="21" t="n">
        <f aca="false">DATE(参数假设!$C$6,9,17)</f>
        <v>45917</v>
      </c>
      <c r="C101" s="22" t="n">
        <f aca="false">MONTH(B101)</f>
        <v>9</v>
      </c>
      <c r="D101" s="23" t="s">
        <v>99</v>
      </c>
      <c r="E101" s="23" t="s">
        <v>118</v>
      </c>
      <c r="F101" s="23" t="s">
        <v>82</v>
      </c>
      <c r="G101" s="20" t="s">
        <v>101</v>
      </c>
      <c r="H101" s="24" t="s">
        <v>102</v>
      </c>
      <c r="I101" s="23" t="s">
        <v>89</v>
      </c>
      <c r="J101" s="25" t="n">
        <v>2001</v>
      </c>
      <c r="K101" s="26" t="n">
        <v>24</v>
      </c>
      <c r="L101" s="27" t="n">
        <f aca="false">J101*K101</f>
        <v>48024</v>
      </c>
      <c r="M101" s="25" t="n">
        <v>1280</v>
      </c>
      <c r="N101" s="27" t="n">
        <f aca="false">IF(M101="",L101*参数假设!$C$10,M101)*K101</f>
        <v>30720</v>
      </c>
      <c r="O101" s="27" t="n">
        <f aca="false">L101-N101</f>
        <v>17304</v>
      </c>
      <c r="P101" s="28" t="n">
        <f aca="false">IF(L101=0,0,O101/L101)</f>
        <v>0.36031984007996</v>
      </c>
    </row>
    <row r="102" customFormat="false" ht="15" hidden="false" customHeight="false" outlineLevel="0" collapsed="false">
      <c r="A102" s="29" t="s">
        <v>196</v>
      </c>
      <c r="B102" s="30" t="n">
        <f aca="false">DATE(参数假设!$C$6,9,20)</f>
        <v>45920</v>
      </c>
      <c r="C102" s="31" t="n">
        <f aca="false">MONTH(B102)</f>
        <v>9</v>
      </c>
      <c r="D102" s="32" t="s">
        <v>99</v>
      </c>
      <c r="E102" s="32" t="s">
        <v>118</v>
      </c>
      <c r="F102" s="32" t="s">
        <v>82</v>
      </c>
      <c r="G102" s="29" t="s">
        <v>76</v>
      </c>
      <c r="H102" s="33" t="s">
        <v>77</v>
      </c>
      <c r="I102" s="32" t="s">
        <v>78</v>
      </c>
      <c r="J102" s="34" t="n">
        <v>508</v>
      </c>
      <c r="K102" s="35" t="n">
        <v>30</v>
      </c>
      <c r="L102" s="27" t="n">
        <f aca="false">J102*K102</f>
        <v>15240</v>
      </c>
      <c r="M102" s="34" t="n">
        <v>302</v>
      </c>
      <c r="N102" s="27" t="n">
        <f aca="false">IF(M102="",L102*参数假设!$C$10,M102)*K102</f>
        <v>9060</v>
      </c>
      <c r="O102" s="27" t="n">
        <f aca="false">L102-N102</f>
        <v>6180</v>
      </c>
      <c r="P102" s="28" t="n">
        <f aca="false">IF(L102=0,0,O102/L102)</f>
        <v>0.405511811023622</v>
      </c>
    </row>
    <row r="103" customFormat="false" ht="15" hidden="false" customHeight="false" outlineLevel="0" collapsed="false">
      <c r="A103" s="20" t="s">
        <v>197</v>
      </c>
      <c r="B103" s="21" t="n">
        <f aca="false">DATE(参数假设!$C$6,9,24)</f>
        <v>45924</v>
      </c>
      <c r="C103" s="22" t="n">
        <f aca="false">MONTH(B103)</f>
        <v>9</v>
      </c>
      <c r="D103" s="23" t="s">
        <v>99</v>
      </c>
      <c r="E103" s="23" t="s">
        <v>100</v>
      </c>
      <c r="F103" s="23" t="s">
        <v>61</v>
      </c>
      <c r="G103" s="20" t="s">
        <v>76</v>
      </c>
      <c r="H103" s="24" t="s">
        <v>77</v>
      </c>
      <c r="I103" s="23" t="s">
        <v>78</v>
      </c>
      <c r="J103" s="25" t="n">
        <v>465</v>
      </c>
      <c r="K103" s="26" t="n">
        <v>39</v>
      </c>
      <c r="L103" s="27" t="n">
        <f aca="false">J103*K103</f>
        <v>18135</v>
      </c>
      <c r="M103" s="25" t="n">
        <v>292</v>
      </c>
      <c r="N103" s="27" t="n">
        <f aca="false">IF(M103="",L103*参数假设!$C$10,M103)*K103</f>
        <v>11388</v>
      </c>
      <c r="O103" s="27" t="n">
        <f aca="false">L103-N103</f>
        <v>6747</v>
      </c>
      <c r="P103" s="28" t="n">
        <f aca="false">IF(L103=0,0,O103/L103)</f>
        <v>0.372043010752688</v>
      </c>
    </row>
    <row r="104" customFormat="false" ht="15" hidden="false" customHeight="false" outlineLevel="0" collapsed="false">
      <c r="A104" s="29" t="s">
        <v>198</v>
      </c>
      <c r="B104" s="30" t="n">
        <f aca="false">DATE(参数假设!$C$6,10,1)</f>
        <v>45931</v>
      </c>
      <c r="C104" s="31" t="n">
        <f aca="false">MONTH(B104)</f>
        <v>10</v>
      </c>
      <c r="D104" s="32" t="s">
        <v>73</v>
      </c>
      <c r="E104" s="32" t="s">
        <v>86</v>
      </c>
      <c r="F104" s="32" t="s">
        <v>82</v>
      </c>
      <c r="G104" s="29" t="s">
        <v>87</v>
      </c>
      <c r="H104" s="33" t="s">
        <v>88</v>
      </c>
      <c r="I104" s="32" t="s">
        <v>89</v>
      </c>
      <c r="J104" s="34" t="n">
        <v>4796</v>
      </c>
      <c r="K104" s="35" t="n">
        <v>15</v>
      </c>
      <c r="L104" s="27" t="n">
        <f aca="false">J104*K104</f>
        <v>71940</v>
      </c>
      <c r="M104" s="34" t="n">
        <v>3123</v>
      </c>
      <c r="N104" s="27" t="n">
        <f aca="false">IF(M104="",L104*参数假设!$C$10,M104)*K104</f>
        <v>46845</v>
      </c>
      <c r="O104" s="27" t="n">
        <f aca="false">L104-N104</f>
        <v>25095</v>
      </c>
      <c r="P104" s="28" t="n">
        <f aca="false">IF(L104=0,0,O104/L104)</f>
        <v>0.34883236030025</v>
      </c>
    </row>
    <row r="105" customFormat="false" ht="15" hidden="false" customHeight="false" outlineLevel="0" collapsed="false">
      <c r="A105" s="20" t="s">
        <v>199</v>
      </c>
      <c r="B105" s="21" t="n">
        <f aca="false">DATE(参数假设!$C$6,10,1)</f>
        <v>45931</v>
      </c>
      <c r="C105" s="22" t="n">
        <f aca="false">MONTH(B105)</f>
        <v>10</v>
      </c>
      <c r="D105" s="23" t="s">
        <v>73</v>
      </c>
      <c r="E105" s="23" t="s">
        <v>74</v>
      </c>
      <c r="F105" s="23" t="s">
        <v>82</v>
      </c>
      <c r="G105" s="20" t="s">
        <v>87</v>
      </c>
      <c r="H105" s="24" t="s">
        <v>88</v>
      </c>
      <c r="I105" s="23" t="s">
        <v>89</v>
      </c>
      <c r="J105" s="25" t="n">
        <v>5164</v>
      </c>
      <c r="K105" s="26" t="n">
        <v>9</v>
      </c>
      <c r="L105" s="27" t="n">
        <f aca="false">J105*K105</f>
        <v>46476</v>
      </c>
      <c r="M105" s="25" t="n">
        <v>3110</v>
      </c>
      <c r="N105" s="27" t="n">
        <f aca="false">IF(M105="",L105*参数假设!$C$10,M105)*K105</f>
        <v>27990</v>
      </c>
      <c r="O105" s="27" t="n">
        <f aca="false">L105-N105</f>
        <v>18486</v>
      </c>
      <c r="P105" s="28" t="n">
        <f aca="false">IF(L105=0,0,O105/L105)</f>
        <v>0.397753679318358</v>
      </c>
    </row>
    <row r="106" customFormat="false" ht="15" hidden="false" customHeight="false" outlineLevel="0" collapsed="false">
      <c r="A106" s="29" t="s">
        <v>200</v>
      </c>
      <c r="B106" s="30" t="n">
        <f aca="false">DATE(参数假设!$C$6,10,5)</f>
        <v>45935</v>
      </c>
      <c r="C106" s="31" t="n">
        <f aca="false">MONTH(B106)</f>
        <v>10</v>
      </c>
      <c r="D106" s="32" t="s">
        <v>80</v>
      </c>
      <c r="E106" s="32" t="s">
        <v>115</v>
      </c>
      <c r="F106" s="32" t="s">
        <v>82</v>
      </c>
      <c r="G106" s="29" t="s">
        <v>76</v>
      </c>
      <c r="H106" s="33" t="s">
        <v>77</v>
      </c>
      <c r="I106" s="32" t="s">
        <v>78</v>
      </c>
      <c r="J106" s="34" t="n">
        <v>468</v>
      </c>
      <c r="K106" s="35" t="n">
        <v>16</v>
      </c>
      <c r="L106" s="27" t="n">
        <f aca="false">J106*K106</f>
        <v>7488</v>
      </c>
      <c r="M106" s="34" t="n">
        <v>304</v>
      </c>
      <c r="N106" s="27" t="n">
        <f aca="false">IF(M106="",L106*参数假设!$C$10,M106)*K106</f>
        <v>4864</v>
      </c>
      <c r="O106" s="27" t="n">
        <f aca="false">L106-N106</f>
        <v>2624</v>
      </c>
      <c r="P106" s="28" t="n">
        <f aca="false">IF(L106=0,0,O106/L106)</f>
        <v>0.35042735042735</v>
      </c>
    </row>
    <row r="107" customFormat="false" ht="15" hidden="false" customHeight="false" outlineLevel="0" collapsed="false">
      <c r="A107" s="20" t="s">
        <v>201</v>
      </c>
      <c r="B107" s="21" t="n">
        <f aca="false">DATE(参数假设!$C$6,10,7)</f>
        <v>45937</v>
      </c>
      <c r="C107" s="22" t="n">
        <f aca="false">MONTH(B107)</f>
        <v>10</v>
      </c>
      <c r="D107" s="23" t="s">
        <v>99</v>
      </c>
      <c r="E107" s="23" t="s">
        <v>118</v>
      </c>
      <c r="F107" s="23" t="s">
        <v>61</v>
      </c>
      <c r="G107" s="20" t="s">
        <v>101</v>
      </c>
      <c r="H107" s="24" t="s">
        <v>102</v>
      </c>
      <c r="I107" s="23" t="s">
        <v>89</v>
      </c>
      <c r="J107" s="25" t="n">
        <v>2024</v>
      </c>
      <c r="K107" s="26" t="n">
        <v>5</v>
      </c>
      <c r="L107" s="27" t="n">
        <f aca="false">J107*K107</f>
        <v>10120</v>
      </c>
      <c r="M107" s="25" t="n">
        <v>1264</v>
      </c>
      <c r="N107" s="27" t="n">
        <f aca="false">IF(M107="",L107*参数假设!$C$10,M107)*K107</f>
        <v>6320</v>
      </c>
      <c r="O107" s="27" t="n">
        <f aca="false">L107-N107</f>
        <v>3800</v>
      </c>
      <c r="P107" s="28" t="n">
        <f aca="false">IF(L107=0,0,O107/L107)</f>
        <v>0.375494071146245</v>
      </c>
    </row>
    <row r="108" customFormat="false" ht="15" hidden="false" customHeight="false" outlineLevel="0" collapsed="false">
      <c r="A108" s="29" t="s">
        <v>202</v>
      </c>
      <c r="B108" s="30" t="n">
        <f aca="false">DATE(参数假设!$C$6,10,8)</f>
        <v>45938</v>
      </c>
      <c r="C108" s="31" t="n">
        <f aca="false">MONTH(B108)</f>
        <v>10</v>
      </c>
      <c r="D108" s="32" t="s">
        <v>80</v>
      </c>
      <c r="E108" s="32" t="s">
        <v>81</v>
      </c>
      <c r="F108" s="32" t="s">
        <v>61</v>
      </c>
      <c r="G108" s="29" t="s">
        <v>76</v>
      </c>
      <c r="H108" s="33" t="s">
        <v>77</v>
      </c>
      <c r="I108" s="32" t="s">
        <v>78</v>
      </c>
      <c r="J108" s="34" t="n">
        <v>467</v>
      </c>
      <c r="K108" s="35" t="n">
        <v>31</v>
      </c>
      <c r="L108" s="27" t="n">
        <f aca="false">J108*K108</f>
        <v>14477</v>
      </c>
      <c r="M108" s="34" t="n">
        <v>313</v>
      </c>
      <c r="N108" s="27" t="n">
        <f aca="false">IF(M108="",L108*参数假设!$C$10,M108)*K108</f>
        <v>9703</v>
      </c>
      <c r="O108" s="27" t="n">
        <f aca="false">L108-N108</f>
        <v>4774</v>
      </c>
      <c r="P108" s="28" t="n">
        <f aca="false">IF(L108=0,0,O108/L108)</f>
        <v>0.329764453961456</v>
      </c>
    </row>
    <row r="109" customFormat="false" ht="15" hidden="false" customHeight="false" outlineLevel="0" collapsed="false">
      <c r="A109" s="20" t="s">
        <v>203</v>
      </c>
      <c r="B109" s="21" t="n">
        <f aca="false">DATE(参数假设!$C$6,10,9)</f>
        <v>45939</v>
      </c>
      <c r="C109" s="22" t="n">
        <f aca="false">MONTH(B109)</f>
        <v>10</v>
      </c>
      <c r="D109" s="23" t="s">
        <v>99</v>
      </c>
      <c r="E109" s="23" t="s">
        <v>118</v>
      </c>
      <c r="F109" s="23" t="s">
        <v>61</v>
      </c>
      <c r="G109" s="20" t="s">
        <v>95</v>
      </c>
      <c r="H109" s="24" t="s">
        <v>96</v>
      </c>
      <c r="I109" s="23" t="s">
        <v>97</v>
      </c>
      <c r="J109" s="25" t="n">
        <v>3591</v>
      </c>
      <c r="K109" s="26" t="n">
        <v>5</v>
      </c>
      <c r="L109" s="27" t="n">
        <f aca="false">J109*K109</f>
        <v>17955</v>
      </c>
      <c r="M109" s="25" t="n">
        <v>874</v>
      </c>
      <c r="N109" s="27" t="n">
        <f aca="false">IF(M109="",L109*参数假设!$C$10,M109)*K109</f>
        <v>4370</v>
      </c>
      <c r="O109" s="27" t="n">
        <f aca="false">L109-N109</f>
        <v>13585</v>
      </c>
      <c r="P109" s="28" t="n">
        <f aca="false">IF(L109=0,0,O109/L109)</f>
        <v>0.756613756613757</v>
      </c>
    </row>
    <row r="110" customFormat="false" ht="15" hidden="false" customHeight="false" outlineLevel="0" collapsed="false">
      <c r="A110" s="29" t="s">
        <v>204</v>
      </c>
      <c r="B110" s="30" t="n">
        <f aca="false">DATE(参数假设!$C$6,10,10)</f>
        <v>45940</v>
      </c>
      <c r="C110" s="31" t="n">
        <f aca="false">MONTH(B110)</f>
        <v>10</v>
      </c>
      <c r="D110" s="32" t="s">
        <v>73</v>
      </c>
      <c r="E110" s="32" t="s">
        <v>74</v>
      </c>
      <c r="F110" s="32" t="s">
        <v>61</v>
      </c>
      <c r="G110" s="29" t="s">
        <v>83</v>
      </c>
      <c r="H110" s="33" t="s">
        <v>84</v>
      </c>
      <c r="I110" s="32" t="s">
        <v>78</v>
      </c>
      <c r="J110" s="34" t="n">
        <v>815</v>
      </c>
      <c r="K110" s="35" t="n">
        <v>17</v>
      </c>
      <c r="L110" s="27" t="n">
        <f aca="false">J110*K110</f>
        <v>13855</v>
      </c>
      <c r="M110" s="34" t="n">
        <v>466</v>
      </c>
      <c r="N110" s="27" t="n">
        <f aca="false">IF(M110="",L110*参数假设!$C$10,M110)*K110</f>
        <v>7922</v>
      </c>
      <c r="O110" s="27" t="n">
        <f aca="false">L110-N110</f>
        <v>5933</v>
      </c>
      <c r="P110" s="28" t="n">
        <f aca="false">IF(L110=0,0,O110/L110)</f>
        <v>0.428220858895706</v>
      </c>
    </row>
    <row r="111" customFormat="false" ht="15" hidden="false" customHeight="false" outlineLevel="0" collapsed="false">
      <c r="A111" s="20" t="s">
        <v>205</v>
      </c>
      <c r="B111" s="21" t="n">
        <f aca="false">DATE(参数假设!$C$6,10,14)</f>
        <v>45944</v>
      </c>
      <c r="C111" s="22" t="n">
        <f aca="false">MONTH(B111)</f>
        <v>10</v>
      </c>
      <c r="D111" s="23" t="s">
        <v>99</v>
      </c>
      <c r="E111" s="23" t="s">
        <v>118</v>
      </c>
      <c r="F111" s="23" t="s">
        <v>61</v>
      </c>
      <c r="G111" s="20" t="s">
        <v>95</v>
      </c>
      <c r="H111" s="24" t="s">
        <v>96</v>
      </c>
      <c r="I111" s="23" t="s">
        <v>97</v>
      </c>
      <c r="J111" s="25" t="n">
        <v>3548</v>
      </c>
      <c r="K111" s="26" t="n">
        <v>2</v>
      </c>
      <c r="L111" s="27" t="n">
        <f aca="false">J111*K111</f>
        <v>7096</v>
      </c>
      <c r="M111" s="25" t="n">
        <v>940</v>
      </c>
      <c r="N111" s="27" t="n">
        <f aca="false">IF(M111="",L111*参数假设!$C$10,M111)*K111</f>
        <v>1880</v>
      </c>
      <c r="O111" s="27" t="n">
        <f aca="false">L111-N111</f>
        <v>5216</v>
      </c>
      <c r="P111" s="28" t="n">
        <f aca="false">IF(L111=0,0,O111/L111)</f>
        <v>0.735062006764374</v>
      </c>
    </row>
    <row r="112" customFormat="false" ht="15" hidden="false" customHeight="false" outlineLevel="0" collapsed="false">
      <c r="A112" s="29" t="s">
        <v>206</v>
      </c>
      <c r="B112" s="30" t="n">
        <f aca="false">DATE(参数假设!$C$6,10,24)</f>
        <v>45954</v>
      </c>
      <c r="C112" s="31" t="n">
        <f aca="false">MONTH(B112)</f>
        <v>10</v>
      </c>
      <c r="D112" s="32" t="s">
        <v>80</v>
      </c>
      <c r="E112" s="32" t="s">
        <v>81</v>
      </c>
      <c r="F112" s="32" t="s">
        <v>61</v>
      </c>
      <c r="G112" s="29" t="s">
        <v>83</v>
      </c>
      <c r="H112" s="33" t="s">
        <v>84</v>
      </c>
      <c r="I112" s="32" t="s">
        <v>78</v>
      </c>
      <c r="J112" s="34" t="n">
        <v>795</v>
      </c>
      <c r="K112" s="35" t="n">
        <v>4</v>
      </c>
      <c r="L112" s="27" t="n">
        <f aca="false">J112*K112</f>
        <v>3180</v>
      </c>
      <c r="M112" s="34" t="n">
        <v>480</v>
      </c>
      <c r="N112" s="27" t="n">
        <f aca="false">IF(M112="",L112*参数假设!$C$10,M112)*K112</f>
        <v>1920</v>
      </c>
      <c r="O112" s="27" t="n">
        <f aca="false">L112-N112</f>
        <v>1260</v>
      </c>
      <c r="P112" s="28" t="n">
        <f aca="false">IF(L112=0,0,O112/L112)</f>
        <v>0.39622641509434</v>
      </c>
    </row>
    <row r="113" customFormat="false" ht="15" hidden="false" customHeight="false" outlineLevel="0" collapsed="false">
      <c r="A113" s="20" t="s">
        <v>207</v>
      </c>
      <c r="B113" s="21" t="n">
        <f aca="false">DATE(参数假设!$C$6,10,26)</f>
        <v>45956</v>
      </c>
      <c r="C113" s="22" t="n">
        <f aca="false">MONTH(B113)</f>
        <v>10</v>
      </c>
      <c r="D113" s="23" t="s">
        <v>99</v>
      </c>
      <c r="E113" s="23" t="s">
        <v>100</v>
      </c>
      <c r="F113" s="23" t="s">
        <v>82</v>
      </c>
      <c r="G113" s="20" t="s">
        <v>76</v>
      </c>
      <c r="H113" s="24" t="s">
        <v>77</v>
      </c>
      <c r="I113" s="23" t="s">
        <v>78</v>
      </c>
      <c r="J113" s="25" t="n">
        <v>467</v>
      </c>
      <c r="K113" s="26" t="n">
        <v>10</v>
      </c>
      <c r="L113" s="27" t="n">
        <f aca="false">J113*K113</f>
        <v>4670</v>
      </c>
      <c r="M113" s="25" t="n">
        <v>305</v>
      </c>
      <c r="N113" s="27" t="n">
        <f aca="false">IF(M113="",L113*参数假设!$C$10,M113)*K113</f>
        <v>3050</v>
      </c>
      <c r="O113" s="27" t="n">
        <f aca="false">L113-N113</f>
        <v>1620</v>
      </c>
      <c r="P113" s="28" t="n">
        <f aca="false">IF(L113=0,0,O113/L113)</f>
        <v>0.346895074946467</v>
      </c>
    </row>
    <row r="114" customFormat="false" ht="15" hidden="false" customHeight="false" outlineLevel="0" collapsed="false">
      <c r="A114" s="29" t="s">
        <v>208</v>
      </c>
      <c r="B114" s="30" t="n">
        <f aca="false">DATE(参数假设!$C$6,11,4)</f>
        <v>45965</v>
      </c>
      <c r="C114" s="31" t="n">
        <f aca="false">MONTH(B114)</f>
        <v>11</v>
      </c>
      <c r="D114" s="32" t="s">
        <v>73</v>
      </c>
      <c r="E114" s="32" t="s">
        <v>86</v>
      </c>
      <c r="F114" s="32" t="s">
        <v>61</v>
      </c>
      <c r="G114" s="29" t="s">
        <v>95</v>
      </c>
      <c r="H114" s="33" t="s">
        <v>96</v>
      </c>
      <c r="I114" s="32" t="s">
        <v>97</v>
      </c>
      <c r="J114" s="34" t="n">
        <v>3688</v>
      </c>
      <c r="K114" s="35" t="n">
        <v>14</v>
      </c>
      <c r="L114" s="27" t="n">
        <f aca="false">J114*K114</f>
        <v>51632</v>
      </c>
      <c r="M114" s="34" t="n">
        <v>914</v>
      </c>
      <c r="N114" s="27" t="n">
        <f aca="false">IF(M114="",L114*参数假设!$C$10,M114)*K114</f>
        <v>12796</v>
      </c>
      <c r="O114" s="27" t="n">
        <f aca="false">L114-N114</f>
        <v>38836</v>
      </c>
      <c r="P114" s="28" t="n">
        <f aca="false">IF(L114=0,0,O114/L114)</f>
        <v>0.752169197396963</v>
      </c>
    </row>
    <row r="115" customFormat="false" ht="15" hidden="false" customHeight="false" outlineLevel="0" collapsed="false">
      <c r="A115" s="20" t="s">
        <v>209</v>
      </c>
      <c r="B115" s="21" t="n">
        <f aca="false">DATE(参数假设!$C$6,11,6)</f>
        <v>45967</v>
      </c>
      <c r="C115" s="22" t="n">
        <f aca="false">MONTH(B115)</f>
        <v>11</v>
      </c>
      <c r="D115" s="23" t="s">
        <v>92</v>
      </c>
      <c r="E115" s="23" t="s">
        <v>93</v>
      </c>
      <c r="F115" s="23" t="s">
        <v>82</v>
      </c>
      <c r="G115" s="20" t="s">
        <v>87</v>
      </c>
      <c r="H115" s="24" t="s">
        <v>88</v>
      </c>
      <c r="I115" s="23" t="s">
        <v>89</v>
      </c>
      <c r="J115" s="25" t="n">
        <v>4883</v>
      </c>
      <c r="K115" s="26" t="n">
        <v>6</v>
      </c>
      <c r="L115" s="27" t="n">
        <f aca="false">J115*K115</f>
        <v>29298</v>
      </c>
      <c r="M115" s="25" t="n">
        <v>3193</v>
      </c>
      <c r="N115" s="27" t="n">
        <f aca="false">IF(M115="",L115*参数假设!$C$10,M115)*K115</f>
        <v>19158</v>
      </c>
      <c r="O115" s="27" t="n">
        <f aca="false">L115-N115</f>
        <v>10140</v>
      </c>
      <c r="P115" s="28" t="n">
        <f aca="false">IF(L115=0,0,O115/L115)</f>
        <v>0.346098709809543</v>
      </c>
    </row>
    <row r="116" customFormat="false" ht="15" hidden="false" customHeight="false" outlineLevel="0" collapsed="false">
      <c r="A116" s="29" t="s">
        <v>210</v>
      </c>
      <c r="B116" s="30" t="n">
        <f aca="false">DATE(参数假设!$C$6,11,9)</f>
        <v>45970</v>
      </c>
      <c r="C116" s="31" t="n">
        <f aca="false">MONTH(B116)</f>
        <v>11</v>
      </c>
      <c r="D116" s="32" t="s">
        <v>80</v>
      </c>
      <c r="E116" s="32" t="s">
        <v>81</v>
      </c>
      <c r="F116" s="32" t="s">
        <v>61</v>
      </c>
      <c r="G116" s="29" t="s">
        <v>87</v>
      </c>
      <c r="H116" s="33" t="s">
        <v>88</v>
      </c>
      <c r="I116" s="32" t="s">
        <v>89</v>
      </c>
      <c r="J116" s="34" t="n">
        <v>5200</v>
      </c>
      <c r="K116" s="35" t="n">
        <v>18</v>
      </c>
      <c r="L116" s="27" t="n">
        <f aca="false">J116*K116</f>
        <v>93600</v>
      </c>
      <c r="M116" s="34" t="n">
        <v>3312</v>
      </c>
      <c r="N116" s="27" t="n">
        <f aca="false">IF(M116="",L116*参数假设!$C$10,M116)*K116</f>
        <v>59616</v>
      </c>
      <c r="O116" s="27" t="n">
        <f aca="false">L116-N116</f>
        <v>33984</v>
      </c>
      <c r="P116" s="28" t="n">
        <f aca="false">IF(L116=0,0,O116/L116)</f>
        <v>0.363076923076923</v>
      </c>
    </row>
    <row r="117" customFormat="false" ht="15" hidden="false" customHeight="false" outlineLevel="0" collapsed="false">
      <c r="A117" s="20" t="s">
        <v>211</v>
      </c>
      <c r="B117" s="21" t="n">
        <f aca="false">DATE(参数假设!$C$6,11,18)</f>
        <v>45979</v>
      </c>
      <c r="C117" s="22" t="n">
        <f aca="false">MONTH(B117)</f>
        <v>11</v>
      </c>
      <c r="D117" s="23" t="s">
        <v>92</v>
      </c>
      <c r="E117" s="23" t="s">
        <v>93</v>
      </c>
      <c r="F117" s="23" t="s">
        <v>61</v>
      </c>
      <c r="G117" s="20" t="s">
        <v>109</v>
      </c>
      <c r="H117" s="24" t="s">
        <v>110</v>
      </c>
      <c r="I117" s="23" t="s">
        <v>97</v>
      </c>
      <c r="J117" s="25" t="n">
        <v>1269</v>
      </c>
      <c r="K117" s="26" t="n">
        <v>29</v>
      </c>
      <c r="L117" s="27" t="n">
        <f aca="false">J117*K117</f>
        <v>36801</v>
      </c>
      <c r="M117" s="25" t="n">
        <v>291</v>
      </c>
      <c r="N117" s="27" t="n">
        <f aca="false">IF(M117="",L117*参数假设!$C$10,M117)*K117</f>
        <v>8439</v>
      </c>
      <c r="O117" s="27" t="n">
        <f aca="false">L117-N117</f>
        <v>28362</v>
      </c>
      <c r="P117" s="28" t="n">
        <f aca="false">IF(L117=0,0,O117/L117)</f>
        <v>0.770685579196218</v>
      </c>
    </row>
    <row r="118" customFormat="false" ht="15" hidden="false" customHeight="false" outlineLevel="0" collapsed="false">
      <c r="A118" s="29" t="s">
        <v>212</v>
      </c>
      <c r="B118" s="30" t="n">
        <f aca="false">DATE(参数假设!$C$6,11,21)</f>
        <v>45982</v>
      </c>
      <c r="C118" s="31" t="n">
        <f aca="false">MONTH(B118)</f>
        <v>11</v>
      </c>
      <c r="D118" s="32" t="s">
        <v>73</v>
      </c>
      <c r="E118" s="32" t="s">
        <v>74</v>
      </c>
      <c r="F118" s="32" t="s">
        <v>82</v>
      </c>
      <c r="G118" s="29" t="s">
        <v>76</v>
      </c>
      <c r="H118" s="33" t="s">
        <v>77</v>
      </c>
      <c r="I118" s="32" t="s">
        <v>78</v>
      </c>
      <c r="J118" s="34" t="n">
        <v>468</v>
      </c>
      <c r="K118" s="35" t="n">
        <v>28</v>
      </c>
      <c r="L118" s="27" t="n">
        <f aca="false">J118*K118</f>
        <v>13104</v>
      </c>
      <c r="M118" s="34" t="n">
        <v>289</v>
      </c>
      <c r="N118" s="27" t="n">
        <f aca="false">IF(M118="",L118*参数假设!$C$10,M118)*K118</f>
        <v>8092</v>
      </c>
      <c r="O118" s="27" t="n">
        <f aca="false">L118-N118</f>
        <v>5012</v>
      </c>
      <c r="P118" s="28" t="n">
        <f aca="false">IF(L118=0,0,O118/L118)</f>
        <v>0.382478632478632</v>
      </c>
    </row>
    <row r="119" customFormat="false" ht="15" hidden="false" customHeight="false" outlineLevel="0" collapsed="false">
      <c r="A119" s="20" t="s">
        <v>213</v>
      </c>
      <c r="B119" s="21" t="n">
        <f aca="false">DATE(参数假设!$C$6,11,21)</f>
        <v>45982</v>
      </c>
      <c r="C119" s="22" t="n">
        <f aca="false">MONTH(B119)</f>
        <v>11</v>
      </c>
      <c r="D119" s="23" t="s">
        <v>99</v>
      </c>
      <c r="E119" s="23" t="s">
        <v>118</v>
      </c>
      <c r="F119" s="23" t="s">
        <v>75</v>
      </c>
      <c r="G119" s="20" t="s">
        <v>109</v>
      </c>
      <c r="H119" s="24" t="s">
        <v>110</v>
      </c>
      <c r="I119" s="23" t="s">
        <v>97</v>
      </c>
      <c r="J119" s="25" t="n">
        <v>1270</v>
      </c>
      <c r="K119" s="26" t="n">
        <v>11</v>
      </c>
      <c r="L119" s="27" t="n">
        <f aca="false">J119*K119</f>
        <v>13970</v>
      </c>
      <c r="M119" s="25" t="n">
        <v>317</v>
      </c>
      <c r="N119" s="27" t="n">
        <f aca="false">IF(M119="",L119*参数假设!$C$10,M119)*K119</f>
        <v>3487</v>
      </c>
      <c r="O119" s="27" t="n">
        <f aca="false">L119-N119</f>
        <v>10483</v>
      </c>
      <c r="P119" s="28" t="n">
        <f aca="false">IF(L119=0,0,O119/L119)</f>
        <v>0.750393700787402</v>
      </c>
    </row>
    <row r="120" customFormat="false" ht="15" hidden="false" customHeight="false" outlineLevel="0" collapsed="false">
      <c r="A120" s="29" t="s">
        <v>214</v>
      </c>
      <c r="B120" s="30" t="n">
        <f aca="false">DATE(参数假设!$C$6,11,21)</f>
        <v>45982</v>
      </c>
      <c r="C120" s="31" t="n">
        <f aca="false">MONTH(B120)</f>
        <v>11</v>
      </c>
      <c r="D120" s="32" t="s">
        <v>99</v>
      </c>
      <c r="E120" s="32" t="s">
        <v>100</v>
      </c>
      <c r="F120" s="32" t="s">
        <v>75</v>
      </c>
      <c r="G120" s="29" t="s">
        <v>83</v>
      </c>
      <c r="H120" s="33" t="s">
        <v>84</v>
      </c>
      <c r="I120" s="32" t="s">
        <v>78</v>
      </c>
      <c r="J120" s="34" t="n">
        <v>773</v>
      </c>
      <c r="K120" s="35" t="n">
        <v>9</v>
      </c>
      <c r="L120" s="27" t="n">
        <f aca="false">J120*K120</f>
        <v>6957</v>
      </c>
      <c r="M120" s="34" t="n">
        <v>475</v>
      </c>
      <c r="N120" s="27" t="n">
        <f aca="false">IF(M120="",L120*参数假设!$C$10,M120)*K120</f>
        <v>4275</v>
      </c>
      <c r="O120" s="27" t="n">
        <f aca="false">L120-N120</f>
        <v>2682</v>
      </c>
      <c r="P120" s="28" t="n">
        <f aca="false">IF(L120=0,0,O120/L120)</f>
        <v>0.385510996119017</v>
      </c>
    </row>
    <row r="121" customFormat="false" ht="15" hidden="false" customHeight="false" outlineLevel="0" collapsed="false">
      <c r="A121" s="20" t="s">
        <v>215</v>
      </c>
      <c r="B121" s="21" t="n">
        <f aca="false">DATE(参数假设!$C$6,11,24)</f>
        <v>45985</v>
      </c>
      <c r="C121" s="22" t="n">
        <f aca="false">MONTH(B121)</f>
        <v>11</v>
      </c>
      <c r="D121" s="23" t="s">
        <v>80</v>
      </c>
      <c r="E121" s="23" t="s">
        <v>81</v>
      </c>
      <c r="F121" s="23" t="s">
        <v>75</v>
      </c>
      <c r="G121" s="20" t="s">
        <v>101</v>
      </c>
      <c r="H121" s="24" t="s">
        <v>102</v>
      </c>
      <c r="I121" s="23" t="s">
        <v>89</v>
      </c>
      <c r="J121" s="25" t="n">
        <v>1910</v>
      </c>
      <c r="K121" s="26" t="n">
        <v>16</v>
      </c>
      <c r="L121" s="27" t="n">
        <f aca="false">J121*K121</f>
        <v>30560</v>
      </c>
      <c r="M121" s="25" t="n">
        <v>1299</v>
      </c>
      <c r="N121" s="27" t="n">
        <f aca="false">IF(M121="",L121*参数假设!$C$10,M121)*K121</f>
        <v>20784</v>
      </c>
      <c r="O121" s="27" t="n">
        <f aca="false">L121-N121</f>
        <v>9776</v>
      </c>
      <c r="P121" s="28" t="n">
        <f aca="false">IF(L121=0,0,O121/L121)</f>
        <v>0.319895287958115</v>
      </c>
    </row>
    <row r="122" customFormat="false" ht="15" hidden="false" customHeight="false" outlineLevel="0" collapsed="false">
      <c r="A122" s="29" t="s">
        <v>216</v>
      </c>
      <c r="B122" s="30" t="n">
        <f aca="false">DATE(参数假设!$C$6,11,25)</f>
        <v>45986</v>
      </c>
      <c r="C122" s="31" t="n">
        <f aca="false">MONTH(B122)</f>
        <v>11</v>
      </c>
      <c r="D122" s="32" t="s">
        <v>92</v>
      </c>
      <c r="E122" s="32" t="s">
        <v>93</v>
      </c>
      <c r="F122" s="32" t="s">
        <v>82</v>
      </c>
      <c r="G122" s="29" t="s">
        <v>83</v>
      </c>
      <c r="H122" s="33" t="s">
        <v>84</v>
      </c>
      <c r="I122" s="32" t="s">
        <v>78</v>
      </c>
      <c r="J122" s="34" t="n">
        <v>770</v>
      </c>
      <c r="K122" s="35" t="n">
        <v>12</v>
      </c>
      <c r="L122" s="27" t="n">
        <f aca="false">J122*K122</f>
        <v>9240</v>
      </c>
      <c r="M122" s="34" t="n">
        <v>474</v>
      </c>
      <c r="N122" s="27" t="n">
        <f aca="false">IF(M122="",L122*参数假设!$C$10,M122)*K122</f>
        <v>5688</v>
      </c>
      <c r="O122" s="27" t="n">
        <f aca="false">L122-N122</f>
        <v>3552</v>
      </c>
      <c r="P122" s="28" t="n">
        <f aca="false">IF(L122=0,0,O122/L122)</f>
        <v>0.384415584415584</v>
      </c>
    </row>
    <row r="123" customFormat="false" ht="15" hidden="false" customHeight="false" outlineLevel="0" collapsed="false">
      <c r="A123" s="20" t="s">
        <v>217</v>
      </c>
      <c r="B123" s="21" t="n">
        <f aca="false">DATE(参数假设!$C$6,11,25)</f>
        <v>45986</v>
      </c>
      <c r="C123" s="22" t="n">
        <f aca="false">MONTH(B123)</f>
        <v>11</v>
      </c>
      <c r="D123" s="23" t="s">
        <v>92</v>
      </c>
      <c r="E123" s="23" t="s">
        <v>93</v>
      </c>
      <c r="F123" s="23" t="s">
        <v>82</v>
      </c>
      <c r="G123" s="20" t="s">
        <v>109</v>
      </c>
      <c r="H123" s="24" t="s">
        <v>110</v>
      </c>
      <c r="I123" s="23" t="s">
        <v>97</v>
      </c>
      <c r="J123" s="25" t="n">
        <v>1234</v>
      </c>
      <c r="K123" s="26" t="n">
        <v>5</v>
      </c>
      <c r="L123" s="27" t="n">
        <f aca="false">J123*K123</f>
        <v>6170</v>
      </c>
      <c r="M123" s="25" t="n">
        <v>309</v>
      </c>
      <c r="N123" s="27" t="n">
        <f aca="false">IF(M123="",L123*参数假设!$C$10,M123)*K123</f>
        <v>1545</v>
      </c>
      <c r="O123" s="27" t="n">
        <f aca="false">L123-N123</f>
        <v>4625</v>
      </c>
      <c r="P123" s="28" t="n">
        <f aca="false">IF(L123=0,0,O123/L123)</f>
        <v>0.749594813614263</v>
      </c>
    </row>
    <row r="124" customFormat="false" ht="15" hidden="false" customHeight="false" outlineLevel="0" collapsed="false">
      <c r="A124" s="29" t="s">
        <v>218</v>
      </c>
      <c r="B124" s="30" t="n">
        <f aca="false">DATE(参数假设!$C$6,11,26)</f>
        <v>45987</v>
      </c>
      <c r="C124" s="31" t="n">
        <f aca="false">MONTH(B124)</f>
        <v>11</v>
      </c>
      <c r="D124" s="32" t="s">
        <v>99</v>
      </c>
      <c r="E124" s="32" t="s">
        <v>118</v>
      </c>
      <c r="F124" s="32" t="s">
        <v>82</v>
      </c>
      <c r="G124" s="29" t="s">
        <v>87</v>
      </c>
      <c r="H124" s="33" t="s">
        <v>88</v>
      </c>
      <c r="I124" s="32" t="s">
        <v>89</v>
      </c>
      <c r="J124" s="34" t="n">
        <v>5210</v>
      </c>
      <c r="K124" s="35" t="n">
        <v>15</v>
      </c>
      <c r="L124" s="27" t="n">
        <f aca="false">J124*K124</f>
        <v>78150</v>
      </c>
      <c r="M124" s="34" t="n">
        <v>3189</v>
      </c>
      <c r="N124" s="27" t="n">
        <f aca="false">IF(M124="",L124*参数假设!$C$10,M124)*K124</f>
        <v>47835</v>
      </c>
      <c r="O124" s="27" t="n">
        <f aca="false">L124-N124</f>
        <v>30315</v>
      </c>
      <c r="P124" s="28" t="n">
        <f aca="false">IF(L124=0,0,O124/L124)</f>
        <v>0.387907869481766</v>
      </c>
    </row>
    <row r="125" customFormat="false" ht="15" hidden="false" customHeight="false" outlineLevel="0" collapsed="false">
      <c r="A125" s="20" t="s">
        <v>219</v>
      </c>
      <c r="B125" s="21" t="n">
        <f aca="false">DATE(参数假设!$C$6,11,28)</f>
        <v>45989</v>
      </c>
      <c r="C125" s="22" t="n">
        <f aca="false">MONTH(B125)</f>
        <v>11</v>
      </c>
      <c r="D125" s="23" t="s">
        <v>80</v>
      </c>
      <c r="E125" s="23" t="s">
        <v>81</v>
      </c>
      <c r="F125" s="23" t="s">
        <v>61</v>
      </c>
      <c r="G125" s="20" t="s">
        <v>87</v>
      </c>
      <c r="H125" s="24" t="s">
        <v>88</v>
      </c>
      <c r="I125" s="23" t="s">
        <v>89</v>
      </c>
      <c r="J125" s="25" t="n">
        <v>4840</v>
      </c>
      <c r="K125" s="26" t="n">
        <v>7</v>
      </c>
      <c r="L125" s="27" t="n">
        <f aca="false">J125*K125</f>
        <v>33880</v>
      </c>
      <c r="M125" s="25" t="n">
        <v>3282</v>
      </c>
      <c r="N125" s="27" t="n">
        <f aca="false">IF(M125="",L125*参数假设!$C$10,M125)*K125</f>
        <v>22974</v>
      </c>
      <c r="O125" s="27" t="n">
        <f aca="false">L125-N125</f>
        <v>10906</v>
      </c>
      <c r="P125" s="28" t="n">
        <f aca="false">IF(L125=0,0,O125/L125)</f>
        <v>0.321900826446281</v>
      </c>
    </row>
    <row r="126" customFormat="false" ht="15" hidden="false" customHeight="false" outlineLevel="0" collapsed="false">
      <c r="A126" s="29" t="s">
        <v>220</v>
      </c>
      <c r="B126" s="30" t="n">
        <f aca="false">DATE(参数假设!$C$6,12,7)</f>
        <v>45998</v>
      </c>
      <c r="C126" s="31" t="n">
        <f aca="false">MONTH(B126)</f>
        <v>12</v>
      </c>
      <c r="D126" s="32" t="s">
        <v>92</v>
      </c>
      <c r="E126" s="32" t="s">
        <v>93</v>
      </c>
      <c r="F126" s="32" t="s">
        <v>61</v>
      </c>
      <c r="G126" s="29" t="s">
        <v>87</v>
      </c>
      <c r="H126" s="33" t="s">
        <v>88</v>
      </c>
      <c r="I126" s="32" t="s">
        <v>89</v>
      </c>
      <c r="J126" s="34" t="n">
        <v>4984</v>
      </c>
      <c r="K126" s="35" t="n">
        <v>4</v>
      </c>
      <c r="L126" s="27" t="n">
        <f aca="false">J126*K126</f>
        <v>19936</v>
      </c>
      <c r="M126" s="34" t="n">
        <v>3321</v>
      </c>
      <c r="N126" s="27" t="n">
        <f aca="false">IF(M126="",L126*参数假设!$C$10,M126)*K126</f>
        <v>13284</v>
      </c>
      <c r="O126" s="27" t="n">
        <f aca="false">L126-N126</f>
        <v>6652</v>
      </c>
      <c r="P126" s="28" t="n">
        <f aca="false">IF(L126=0,0,O126/L126)</f>
        <v>0.333667736757624</v>
      </c>
    </row>
    <row r="127" customFormat="false" ht="15" hidden="false" customHeight="false" outlineLevel="0" collapsed="false">
      <c r="A127" s="20" t="s">
        <v>221</v>
      </c>
      <c r="B127" s="21" t="n">
        <f aca="false">DATE(参数假设!$C$6,12,9)</f>
        <v>46000</v>
      </c>
      <c r="C127" s="22" t="n">
        <f aca="false">MONTH(B127)</f>
        <v>12</v>
      </c>
      <c r="D127" s="23" t="s">
        <v>99</v>
      </c>
      <c r="E127" s="23" t="s">
        <v>100</v>
      </c>
      <c r="F127" s="23" t="s">
        <v>75</v>
      </c>
      <c r="G127" s="20" t="s">
        <v>87</v>
      </c>
      <c r="H127" s="24" t="s">
        <v>88</v>
      </c>
      <c r="I127" s="23" t="s">
        <v>89</v>
      </c>
      <c r="J127" s="25" t="n">
        <v>4922</v>
      </c>
      <c r="K127" s="26" t="n">
        <v>9</v>
      </c>
      <c r="L127" s="27" t="n">
        <f aca="false">J127*K127</f>
        <v>44298</v>
      </c>
      <c r="M127" s="25" t="n">
        <v>3301</v>
      </c>
      <c r="N127" s="27" t="n">
        <f aca="false">IF(M127="",L127*参数假设!$C$10,M127)*K127</f>
        <v>29709</v>
      </c>
      <c r="O127" s="27" t="n">
        <f aca="false">L127-N127</f>
        <v>14589</v>
      </c>
      <c r="P127" s="28" t="n">
        <f aca="false">IF(L127=0,0,O127/L127)</f>
        <v>0.329337667614791</v>
      </c>
    </row>
    <row r="128" customFormat="false" ht="15" hidden="false" customHeight="false" outlineLevel="0" collapsed="false">
      <c r="A128" s="29" t="s">
        <v>222</v>
      </c>
      <c r="B128" s="30" t="n">
        <f aca="false">DATE(参数假设!$C$6,12,15)</f>
        <v>46006</v>
      </c>
      <c r="C128" s="31" t="n">
        <f aca="false">MONTH(B128)</f>
        <v>12</v>
      </c>
      <c r="D128" s="32" t="s">
        <v>80</v>
      </c>
      <c r="E128" s="32" t="s">
        <v>115</v>
      </c>
      <c r="F128" s="32" t="s">
        <v>75</v>
      </c>
      <c r="G128" s="29" t="s">
        <v>101</v>
      </c>
      <c r="H128" s="33" t="s">
        <v>102</v>
      </c>
      <c r="I128" s="32" t="s">
        <v>89</v>
      </c>
      <c r="J128" s="34" t="n">
        <v>2057</v>
      </c>
      <c r="K128" s="35" t="n">
        <v>25</v>
      </c>
      <c r="L128" s="27" t="n">
        <f aca="false">J128*K128</f>
        <v>51425</v>
      </c>
      <c r="M128" s="34" t="n">
        <v>1255</v>
      </c>
      <c r="N128" s="27" t="n">
        <f aca="false">IF(M128="",L128*参数假设!$C$10,M128)*K128</f>
        <v>31375</v>
      </c>
      <c r="O128" s="27" t="n">
        <f aca="false">L128-N128</f>
        <v>20050</v>
      </c>
      <c r="P128" s="28" t="n">
        <f aca="false">IF(L128=0,0,O128/L128)</f>
        <v>0.389888186679631</v>
      </c>
    </row>
    <row r="129" customFormat="false" ht="15" hidden="false" customHeight="false" outlineLevel="0" collapsed="false">
      <c r="A129" s="20" t="s">
        <v>223</v>
      </c>
      <c r="B129" s="21" t="n">
        <f aca="false">DATE(参数假设!$C$6,12,16)</f>
        <v>46007</v>
      </c>
      <c r="C129" s="22" t="n">
        <f aca="false">MONTH(B129)</f>
        <v>12</v>
      </c>
      <c r="D129" s="23" t="s">
        <v>73</v>
      </c>
      <c r="E129" s="23" t="s">
        <v>86</v>
      </c>
      <c r="F129" s="23" t="s">
        <v>75</v>
      </c>
      <c r="G129" s="20" t="s">
        <v>83</v>
      </c>
      <c r="H129" s="24" t="s">
        <v>84</v>
      </c>
      <c r="I129" s="23" t="s">
        <v>78</v>
      </c>
      <c r="J129" s="25" t="n">
        <v>798</v>
      </c>
      <c r="K129" s="26" t="n">
        <v>18</v>
      </c>
      <c r="L129" s="27" t="n">
        <f aca="false">J129*K129</f>
        <v>14364</v>
      </c>
      <c r="M129" s="25" t="n">
        <v>476</v>
      </c>
      <c r="N129" s="27" t="n">
        <f aca="false">IF(M129="",L129*参数假设!$C$10,M129)*K129</f>
        <v>8568</v>
      </c>
      <c r="O129" s="27" t="n">
        <f aca="false">L129-N129</f>
        <v>5796</v>
      </c>
      <c r="P129" s="28" t="n">
        <f aca="false">IF(L129=0,0,O129/L129)</f>
        <v>0.403508771929825</v>
      </c>
    </row>
    <row r="130" customFormat="false" ht="15" hidden="false" customHeight="false" outlineLevel="0" collapsed="false">
      <c r="A130" s="29" t="s">
        <v>224</v>
      </c>
      <c r="B130" s="30" t="n">
        <f aca="false">DATE(参数假设!$C$6,12,18)</f>
        <v>46009</v>
      </c>
      <c r="C130" s="31" t="n">
        <f aca="false">MONTH(B130)</f>
        <v>12</v>
      </c>
      <c r="D130" s="32" t="s">
        <v>73</v>
      </c>
      <c r="E130" s="32" t="s">
        <v>86</v>
      </c>
      <c r="F130" s="32" t="s">
        <v>75</v>
      </c>
      <c r="G130" s="29" t="s">
        <v>87</v>
      </c>
      <c r="H130" s="33" t="s">
        <v>88</v>
      </c>
      <c r="I130" s="32" t="s">
        <v>89</v>
      </c>
      <c r="J130" s="34" t="n">
        <v>4805</v>
      </c>
      <c r="K130" s="35" t="n">
        <v>16</v>
      </c>
      <c r="L130" s="27" t="n">
        <f aca="false">J130*K130</f>
        <v>76880</v>
      </c>
      <c r="M130" s="34" t="n">
        <v>3185</v>
      </c>
      <c r="N130" s="27" t="n">
        <f aca="false">IF(M130="",L130*参数假设!$C$10,M130)*K130</f>
        <v>50960</v>
      </c>
      <c r="O130" s="27" t="n">
        <f aca="false">L130-N130</f>
        <v>25920</v>
      </c>
      <c r="P130" s="28" t="n">
        <f aca="false">IF(L130=0,0,O130/L130)</f>
        <v>0.337148803329865</v>
      </c>
    </row>
    <row r="131" customFormat="false" ht="15" hidden="false" customHeight="false" outlineLevel="0" collapsed="false">
      <c r="A131" s="20" t="s">
        <v>225</v>
      </c>
      <c r="B131" s="21" t="n">
        <f aca="false">DATE(参数假设!$C$6,12,18)</f>
        <v>46009</v>
      </c>
      <c r="C131" s="22" t="n">
        <f aca="false">MONTH(B131)</f>
        <v>12</v>
      </c>
      <c r="D131" s="23" t="s">
        <v>80</v>
      </c>
      <c r="E131" s="23" t="s">
        <v>81</v>
      </c>
      <c r="F131" s="23" t="s">
        <v>82</v>
      </c>
      <c r="G131" s="20" t="s">
        <v>95</v>
      </c>
      <c r="H131" s="24" t="s">
        <v>96</v>
      </c>
      <c r="I131" s="23" t="s">
        <v>97</v>
      </c>
      <c r="J131" s="25" t="n">
        <v>3805</v>
      </c>
      <c r="K131" s="26" t="n">
        <v>17</v>
      </c>
      <c r="L131" s="27" t="n">
        <f aca="false">J131*K131</f>
        <v>64685</v>
      </c>
      <c r="M131" s="25" t="n">
        <v>875</v>
      </c>
      <c r="N131" s="27" t="n">
        <f aca="false">IF(M131="",L131*参数假设!$C$10,M131)*K131</f>
        <v>14875</v>
      </c>
      <c r="O131" s="27" t="n">
        <f aca="false">L131-N131</f>
        <v>49810</v>
      </c>
      <c r="P131" s="28" t="n">
        <f aca="false">IF(L131=0,0,O131/L131)</f>
        <v>0.770039421813404</v>
      </c>
    </row>
    <row r="132" customFormat="false" ht="15" hidden="false" customHeight="false" outlineLevel="0" collapsed="false">
      <c r="A132" s="29" t="s">
        <v>226</v>
      </c>
      <c r="B132" s="30" t="n">
        <f aca="false">DATE(参数假设!$C$6,12,19)</f>
        <v>46010</v>
      </c>
      <c r="C132" s="31" t="n">
        <f aca="false">MONTH(B132)</f>
        <v>12</v>
      </c>
      <c r="D132" s="32" t="s">
        <v>80</v>
      </c>
      <c r="E132" s="32" t="s">
        <v>81</v>
      </c>
      <c r="F132" s="32" t="s">
        <v>82</v>
      </c>
      <c r="G132" s="29" t="s">
        <v>109</v>
      </c>
      <c r="H132" s="33" t="s">
        <v>110</v>
      </c>
      <c r="I132" s="32" t="s">
        <v>97</v>
      </c>
      <c r="J132" s="34" t="n">
        <v>1239</v>
      </c>
      <c r="K132" s="35" t="n">
        <v>30</v>
      </c>
      <c r="L132" s="27" t="n">
        <f aca="false">J132*K132</f>
        <v>37170</v>
      </c>
      <c r="M132" s="34" t="n">
        <v>306</v>
      </c>
      <c r="N132" s="27" t="n">
        <f aca="false">IF(M132="",L132*参数假设!$C$10,M132)*K132</f>
        <v>9180</v>
      </c>
      <c r="O132" s="27" t="n">
        <f aca="false">L132-N132</f>
        <v>27990</v>
      </c>
      <c r="P132" s="28" t="n">
        <f aca="false">IF(L132=0,0,O132/L132)</f>
        <v>0.753026634382567</v>
      </c>
    </row>
    <row r="133" customFormat="false" ht="15" hidden="false" customHeight="false" outlineLevel="0" collapsed="false">
      <c r="A133" s="20" t="s">
        <v>227</v>
      </c>
      <c r="B133" s="21" t="n">
        <f aca="false">DATE(参数假设!$C$6,12,22)</f>
        <v>46013</v>
      </c>
      <c r="C133" s="22" t="n">
        <f aca="false">MONTH(B133)</f>
        <v>12</v>
      </c>
      <c r="D133" s="23" t="s">
        <v>80</v>
      </c>
      <c r="E133" s="23" t="s">
        <v>81</v>
      </c>
      <c r="F133" s="23" t="s">
        <v>61</v>
      </c>
      <c r="G133" s="20" t="s">
        <v>83</v>
      </c>
      <c r="H133" s="24" t="s">
        <v>84</v>
      </c>
      <c r="I133" s="23" t="s">
        <v>78</v>
      </c>
      <c r="J133" s="25" t="n">
        <v>783</v>
      </c>
      <c r="K133" s="26" t="n">
        <v>15</v>
      </c>
      <c r="L133" s="27" t="n">
        <f aca="false">J133*K133</f>
        <v>11745</v>
      </c>
      <c r="M133" s="25" t="n">
        <v>466</v>
      </c>
      <c r="N133" s="27" t="n">
        <f aca="false">IF(M133="",L133*参数假设!$C$10,M133)*K133</f>
        <v>6990</v>
      </c>
      <c r="O133" s="27" t="n">
        <f aca="false">L133-N133</f>
        <v>4755</v>
      </c>
      <c r="P133" s="28" t="n">
        <f aca="false">IF(L133=0,0,O133/L133)</f>
        <v>0.40485312899106</v>
      </c>
    </row>
    <row r="134" customFormat="false" ht="15" hidden="false" customHeight="false" outlineLevel="0" collapsed="false">
      <c r="A134" s="29" t="s">
        <v>228</v>
      </c>
      <c r="B134" s="30" t="n">
        <f aca="false">DATE(参数假设!$C$6,12,25)</f>
        <v>46016</v>
      </c>
      <c r="C134" s="31" t="n">
        <f aca="false">MONTH(B134)</f>
        <v>12</v>
      </c>
      <c r="D134" s="32" t="s">
        <v>92</v>
      </c>
      <c r="E134" s="32" t="s">
        <v>93</v>
      </c>
      <c r="F134" s="32" t="s">
        <v>82</v>
      </c>
      <c r="G134" s="29" t="s">
        <v>101</v>
      </c>
      <c r="H134" s="33" t="s">
        <v>102</v>
      </c>
      <c r="I134" s="32" t="s">
        <v>89</v>
      </c>
      <c r="J134" s="34" t="n">
        <v>2128</v>
      </c>
      <c r="K134" s="35" t="n">
        <v>12</v>
      </c>
      <c r="L134" s="27" t="n">
        <f aca="false">J134*K134</f>
        <v>25536</v>
      </c>
      <c r="M134" s="34" t="n">
        <v>1367</v>
      </c>
      <c r="N134" s="27" t="n">
        <f aca="false">IF(M134="",L134*参数假设!$C$10,M134)*K134</f>
        <v>16404</v>
      </c>
      <c r="O134" s="27" t="n">
        <f aca="false">L134-N134</f>
        <v>9132</v>
      </c>
      <c r="P134" s="28" t="n">
        <f aca="false">IF(L134=0,0,O134/L134)</f>
        <v>0.357612781954887</v>
      </c>
    </row>
    <row r="135" customFormat="false" ht="15" hidden="false" customHeight="false" outlineLevel="0" collapsed="false">
      <c r="A135" s="20" t="s">
        <v>229</v>
      </c>
      <c r="B135" s="21" t="n">
        <f aca="false">DATE(参数假设!$C$6,12,25)</f>
        <v>46016</v>
      </c>
      <c r="C135" s="22" t="n">
        <f aca="false">MONTH(B135)</f>
        <v>12</v>
      </c>
      <c r="D135" s="23" t="s">
        <v>80</v>
      </c>
      <c r="E135" s="23" t="s">
        <v>115</v>
      </c>
      <c r="F135" s="23" t="s">
        <v>75</v>
      </c>
      <c r="G135" s="20" t="s">
        <v>87</v>
      </c>
      <c r="H135" s="24" t="s">
        <v>88</v>
      </c>
      <c r="I135" s="23" t="s">
        <v>89</v>
      </c>
      <c r="J135" s="25" t="n">
        <v>5290</v>
      </c>
      <c r="K135" s="26" t="n">
        <v>11</v>
      </c>
      <c r="L135" s="27" t="n">
        <f aca="false">J135*K135</f>
        <v>58190</v>
      </c>
      <c r="M135" s="25" t="n">
        <v>3258</v>
      </c>
      <c r="N135" s="27" t="n">
        <f aca="false">IF(M135="",L135*参数假设!$C$10,M135)*K135</f>
        <v>35838</v>
      </c>
      <c r="O135" s="27" t="n">
        <f aca="false">L135-N135</f>
        <v>22352</v>
      </c>
      <c r="P135" s="28" t="n">
        <f aca="false">IF(L135=0,0,O135/L135)</f>
        <v>0.384120982986768</v>
      </c>
    </row>
    <row r="136" customFormat="false" ht="15" hidden="false" customHeight="false" outlineLevel="0" collapsed="false">
      <c r="A136" s="36" t="s">
        <v>230</v>
      </c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7" t="n">
        <f aca="false">SUM(L7:L135)</f>
        <v>2965348</v>
      </c>
      <c r="M136" s="38"/>
      <c r="N136" s="37" t="n">
        <f aca="false">SUM(N7:N135)</f>
        <v>1535296</v>
      </c>
      <c r="O136" s="37" t="n">
        <f aca="false">SUM(O7:O135)</f>
        <v>1430052</v>
      </c>
      <c r="P136" s="39" t="n">
        <f aca="false">IF(L136=0,0,O136/L136)</f>
        <v>0.482254359353438</v>
      </c>
    </row>
  </sheetData>
  <mergeCells count="3">
    <mergeCell ref="A2:P2"/>
    <mergeCell ref="A3:P3"/>
    <mergeCell ref="A136:K136"/>
  </mergeCell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&amp;L境核AI · 销售数据分析模板&amp;R标准版</oddHeader>
    <oddFooter>&amp;L示例数据（虚构）&amp;C&amp;A&amp;R第 &amp;P 页 共 &amp;N 页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H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9"/>
    <col collapsed="false" customWidth="true" hidden="false" outlineLevel="0" max="3" min="3" style="0" width="14"/>
    <col collapsed="false" customWidth="true" hidden="false" outlineLevel="0" max="5" min="4" style="0" width="13"/>
    <col collapsed="false" customWidth="true" hidden="false" outlineLevel="0" max="6" min="6" style="0" width="9"/>
    <col collapsed="false" customWidth="true" hidden="false" outlineLevel="0" max="7" min="7" style="0" width="11"/>
    <col collapsed="false" customWidth="true" hidden="false" outlineLevel="0" max="8" min="8" style="0" width="12"/>
  </cols>
  <sheetData>
    <row r="2" customFormat="false" ht="30" hidden="false" customHeight="true" outlineLevel="0" collapsed="false">
      <c r="A2" s="11" t="s">
        <v>231</v>
      </c>
      <c r="B2" s="11"/>
      <c r="C2" s="11"/>
      <c r="D2" s="11"/>
      <c r="E2" s="11"/>
      <c r="F2" s="11"/>
      <c r="G2" s="11"/>
      <c r="H2" s="11"/>
    </row>
    <row r="3" customFormat="false" ht="15" hidden="false" customHeight="false" outlineLevel="0" collapsed="false">
      <c r="A3" s="12" t="s">
        <v>232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7" t="s">
        <v>58</v>
      </c>
      <c r="B5" s="7" t="s">
        <v>233</v>
      </c>
      <c r="C5" s="7" t="s">
        <v>67</v>
      </c>
      <c r="D5" s="7" t="s">
        <v>69</v>
      </c>
      <c r="E5" s="7" t="s">
        <v>70</v>
      </c>
      <c r="F5" s="7" t="s">
        <v>71</v>
      </c>
      <c r="G5" s="7" t="s">
        <v>234</v>
      </c>
      <c r="H5" s="7" t="s">
        <v>235</v>
      </c>
    </row>
    <row r="6" customFormat="false" ht="15" hidden="false" customHeight="false" outlineLevel="0" collapsed="false">
      <c r="A6" s="40" t="s">
        <v>236</v>
      </c>
      <c r="B6" s="41" t="n">
        <f aca="false">COUNTIFS(销售明细!$C$7:$C$135,1)</f>
        <v>13</v>
      </c>
      <c r="C6" s="41" t="n">
        <f aca="false">SUMIFS(销售明细!$L$7:$L$135,销售明细!$C$7:$C$135,1)</f>
        <v>159216</v>
      </c>
      <c r="D6" s="41" t="n">
        <f aca="false">SUMIFS(销售明细!$N$7:$N$135,销售明细!$C$7:$C$135,1)</f>
        <v>82095</v>
      </c>
      <c r="E6" s="41" t="n">
        <f aca="false">SUMIFS(销售明细!$O$7:$O$135,销售明细!$C$7:$C$135,1)</f>
        <v>77121</v>
      </c>
      <c r="F6" s="42" t="n">
        <f aca="false">IF(C6=0,0,E6/C6)</f>
        <v>0.484379710581851</v>
      </c>
      <c r="G6" s="40" t="s">
        <v>237</v>
      </c>
      <c r="H6" s="42" t="n">
        <f aca="false">IF(参数假设!$C$8=0,0,C6/参数假设!$C$8)</f>
        <v>0.176906666666667</v>
      </c>
    </row>
    <row r="7" customFormat="false" ht="15" hidden="false" customHeight="false" outlineLevel="0" collapsed="false">
      <c r="A7" s="43" t="s">
        <v>238</v>
      </c>
      <c r="B7" s="44" t="n">
        <f aca="false">COUNTIFS(销售明细!$C$7:$C$135,2)</f>
        <v>10</v>
      </c>
      <c r="C7" s="44" t="n">
        <f aca="false">SUMIFS(销售明细!$L$7:$L$135,销售明细!$C$7:$C$135,2)</f>
        <v>206014</v>
      </c>
      <c r="D7" s="44" t="n">
        <f aca="false">SUMIFS(销售明细!$N$7:$N$135,销售明细!$C$7:$C$135,2)</f>
        <v>123102</v>
      </c>
      <c r="E7" s="44" t="n">
        <f aca="false">SUMIFS(销售明细!$O$7:$O$135,销售明细!$C$7:$C$135,2)</f>
        <v>82912</v>
      </c>
      <c r="F7" s="45" t="n">
        <f aca="false">IF(C7=0,0,E7/C7)</f>
        <v>0.402458085372839</v>
      </c>
      <c r="G7" s="46" t="n">
        <f aca="false">IF(C6=0,0,C7/C6-1)</f>
        <v>0.29392774595518</v>
      </c>
      <c r="H7" s="45" t="n">
        <f aca="false">IF(参数假设!$C$8=0,0,C7/参数假设!$C$8)</f>
        <v>0.228904444444444</v>
      </c>
    </row>
    <row r="8" customFormat="false" ht="15" hidden="false" customHeight="false" outlineLevel="0" collapsed="false">
      <c r="A8" s="40" t="s">
        <v>239</v>
      </c>
      <c r="B8" s="41" t="n">
        <f aca="false">COUNTIFS(销售明细!$C$7:$C$135,3)</f>
        <v>11</v>
      </c>
      <c r="C8" s="41" t="n">
        <f aca="false">SUMIFS(销售明细!$L$7:$L$135,销售明细!$C$7:$C$135,3)</f>
        <v>302577</v>
      </c>
      <c r="D8" s="41" t="n">
        <f aca="false">SUMIFS(销售明细!$N$7:$N$135,销售明细!$C$7:$C$135,3)</f>
        <v>115842</v>
      </c>
      <c r="E8" s="41" t="n">
        <f aca="false">SUMIFS(销售明细!$O$7:$O$135,销售明细!$C$7:$C$135,3)</f>
        <v>186735</v>
      </c>
      <c r="F8" s="42" t="n">
        <f aca="false">IF(C8=0,0,E8/C8)</f>
        <v>0.617148692729454</v>
      </c>
      <c r="G8" s="47" t="n">
        <f aca="false">IF(C7=0,0,C8/C7-1)</f>
        <v>0.468720572388284</v>
      </c>
      <c r="H8" s="42" t="n">
        <f aca="false">IF(参数假设!$C$8=0,0,C8/参数假设!$C$8)</f>
        <v>0.336196666666667</v>
      </c>
    </row>
    <row r="9" customFormat="false" ht="15" hidden="false" customHeight="false" outlineLevel="0" collapsed="false">
      <c r="A9" s="43" t="s">
        <v>240</v>
      </c>
      <c r="B9" s="44" t="n">
        <f aca="false">COUNTIFS(销售明细!$C$7:$C$135,4)</f>
        <v>9</v>
      </c>
      <c r="C9" s="44" t="n">
        <f aca="false">SUMIFS(销售明细!$L$7:$L$135,销售明细!$C$7:$C$135,4)</f>
        <v>181504</v>
      </c>
      <c r="D9" s="44" t="n">
        <f aca="false">SUMIFS(销售明细!$N$7:$N$135,销售明细!$C$7:$C$135,4)</f>
        <v>81175</v>
      </c>
      <c r="E9" s="44" t="n">
        <f aca="false">SUMIFS(销售明细!$O$7:$O$135,销售明细!$C$7:$C$135,4)</f>
        <v>100329</v>
      </c>
      <c r="F9" s="45" t="n">
        <f aca="false">IF(C9=0,0,E9/C9)</f>
        <v>0.552764677362482</v>
      </c>
      <c r="G9" s="46" t="n">
        <f aca="false">IF(C8=0,0,C9/C8-1)</f>
        <v>-0.400139468631125</v>
      </c>
      <c r="H9" s="45" t="n">
        <f aca="false">IF(参数假设!$C$8=0,0,C9/参数假设!$C$8)</f>
        <v>0.201671111111111</v>
      </c>
    </row>
    <row r="10" customFormat="false" ht="15" hidden="false" customHeight="false" outlineLevel="0" collapsed="false">
      <c r="A10" s="40" t="s">
        <v>241</v>
      </c>
      <c r="B10" s="41" t="n">
        <f aca="false">COUNTIFS(销售明细!$C$7:$C$135,5)</f>
        <v>11</v>
      </c>
      <c r="C10" s="41" t="n">
        <f aca="false">SUMIFS(销售明细!$L$7:$L$135,销售明细!$C$7:$C$135,5)</f>
        <v>197915</v>
      </c>
      <c r="D10" s="41" t="n">
        <f aca="false">SUMIFS(销售明细!$N$7:$N$135,销售明细!$C$7:$C$135,5)</f>
        <v>88681</v>
      </c>
      <c r="E10" s="41" t="n">
        <f aca="false">SUMIFS(销售明细!$O$7:$O$135,销售明细!$C$7:$C$135,5)</f>
        <v>109234</v>
      </c>
      <c r="F10" s="42" t="n">
        <f aca="false">IF(C10=0,0,E10/C10)</f>
        <v>0.551923805674153</v>
      </c>
      <c r="G10" s="47" t="n">
        <f aca="false">IF(C9=0,0,C10/C9-1)</f>
        <v>0.0904167401269393</v>
      </c>
      <c r="H10" s="42" t="n">
        <f aca="false">IF(参数假设!$C$8=0,0,C10/参数假设!$C$8)</f>
        <v>0.219905555555556</v>
      </c>
    </row>
    <row r="11" customFormat="false" ht="15" hidden="false" customHeight="false" outlineLevel="0" collapsed="false">
      <c r="A11" s="43" t="s">
        <v>242</v>
      </c>
      <c r="B11" s="44" t="n">
        <f aca="false">COUNTIFS(销售明细!$C$7:$C$135,6)</f>
        <v>12</v>
      </c>
      <c r="C11" s="44" t="n">
        <f aca="false">SUMIFS(销售明细!$L$7:$L$135,销售明细!$C$7:$C$135,6)</f>
        <v>177467</v>
      </c>
      <c r="D11" s="44" t="n">
        <f aca="false">SUMIFS(销售明细!$N$7:$N$135,销售明细!$C$7:$C$135,6)</f>
        <v>85753</v>
      </c>
      <c r="E11" s="44" t="n">
        <f aca="false">SUMIFS(销售明细!$O$7:$O$135,销售明细!$C$7:$C$135,6)</f>
        <v>91714</v>
      </c>
      <c r="F11" s="45" t="n">
        <f aca="false">IF(C11=0,0,E11/C11)</f>
        <v>0.51679467168544</v>
      </c>
      <c r="G11" s="46" t="n">
        <f aca="false">IF(C10=0,0,C11/C10-1)</f>
        <v>-0.103317080564889</v>
      </c>
      <c r="H11" s="45" t="n">
        <f aca="false">IF(参数假设!$C$8=0,0,C11/参数假设!$C$8)</f>
        <v>0.197185555555556</v>
      </c>
    </row>
    <row r="12" customFormat="false" ht="15" hidden="false" customHeight="false" outlineLevel="0" collapsed="false">
      <c r="A12" s="40" t="s">
        <v>243</v>
      </c>
      <c r="B12" s="41" t="n">
        <f aca="false">COUNTIFS(销售明细!$C$7:$C$135,7)</f>
        <v>11</v>
      </c>
      <c r="C12" s="41" t="n">
        <f aca="false">SUMIFS(销售明细!$L$7:$L$135,销售明细!$C$7:$C$135,7)</f>
        <v>231679</v>
      </c>
      <c r="D12" s="41" t="n">
        <f aca="false">SUMIFS(销售明细!$N$7:$N$135,销售明细!$C$7:$C$135,7)</f>
        <v>110700</v>
      </c>
      <c r="E12" s="41" t="n">
        <f aca="false">SUMIFS(销售明细!$O$7:$O$135,销售明细!$C$7:$C$135,7)</f>
        <v>120979</v>
      </c>
      <c r="F12" s="42" t="n">
        <f aca="false">IF(C12=0,0,E12/C12)</f>
        <v>0.522183711083007</v>
      </c>
      <c r="G12" s="47" t="n">
        <f aca="false">IF(C11=0,0,C12/C11-1)</f>
        <v>0.305476511126012</v>
      </c>
      <c r="H12" s="42" t="n">
        <f aca="false">IF(参数假设!$C$8=0,0,C12/参数假设!$C$8)</f>
        <v>0.257421111111111</v>
      </c>
    </row>
    <row r="13" customFormat="false" ht="15" hidden="false" customHeight="false" outlineLevel="0" collapsed="false">
      <c r="A13" s="43" t="s">
        <v>244</v>
      </c>
      <c r="B13" s="44" t="n">
        <f aca="false">COUNTIFS(销售明细!$C$7:$C$135,8)</f>
        <v>9</v>
      </c>
      <c r="C13" s="44" t="n">
        <f aca="false">SUMIFS(销售明细!$L$7:$L$135,销售明细!$C$7:$C$135,8)</f>
        <v>169381</v>
      </c>
      <c r="D13" s="44" t="n">
        <f aca="false">SUMIFS(销售明细!$N$7:$N$135,销售明细!$C$7:$C$135,8)</f>
        <v>95720</v>
      </c>
      <c r="E13" s="44" t="n">
        <f aca="false">SUMIFS(销售明细!$O$7:$O$135,销售明细!$C$7:$C$135,8)</f>
        <v>73661</v>
      </c>
      <c r="F13" s="45" t="n">
        <f aca="false">IF(C13=0,0,E13/C13)</f>
        <v>0.434883487522213</v>
      </c>
      <c r="G13" s="46" t="n">
        <f aca="false">IF(C12=0,0,C13/C12-1)</f>
        <v>-0.26889791478727</v>
      </c>
      <c r="H13" s="45" t="n">
        <f aca="false">IF(参数假设!$C$8=0,0,C13/参数假设!$C$8)</f>
        <v>0.188201111111111</v>
      </c>
    </row>
    <row r="14" customFormat="false" ht="15" hidden="false" customHeight="false" outlineLevel="0" collapsed="false">
      <c r="A14" s="40" t="s">
        <v>245</v>
      </c>
      <c r="B14" s="41" t="n">
        <f aca="false">COUNTIFS(销售明细!$C$7:$C$135,9)</f>
        <v>11</v>
      </c>
      <c r="C14" s="41" t="n">
        <f aca="false">SUMIFS(销售明细!$L$7:$L$135,销售明细!$C$7:$C$135,9)</f>
        <v>334747</v>
      </c>
      <c r="D14" s="41" t="n">
        <f aca="false">SUMIFS(销售明细!$N$7:$N$135,销售明细!$C$7:$C$135,9)</f>
        <v>205492</v>
      </c>
      <c r="E14" s="41" t="n">
        <f aca="false">SUMIFS(销售明细!$O$7:$O$135,销售明细!$C$7:$C$135,9)</f>
        <v>129255</v>
      </c>
      <c r="F14" s="42" t="n">
        <f aca="false">IF(C14=0,0,E14/C14)</f>
        <v>0.386127433554296</v>
      </c>
      <c r="G14" s="47" t="n">
        <f aca="false">IF(C13=0,0,C14/C13-1)</f>
        <v>0.976296042649412</v>
      </c>
      <c r="H14" s="42" t="n">
        <f aca="false">IF(参数假设!$C$8=0,0,C14/参数假设!$C$8)</f>
        <v>0.371941111111111</v>
      </c>
    </row>
    <row r="15" customFormat="false" ht="15" hidden="false" customHeight="false" outlineLevel="0" collapsed="false">
      <c r="A15" s="43" t="s">
        <v>246</v>
      </c>
      <c r="B15" s="44" t="n">
        <f aca="false">COUNTIFS(销售明细!$C$7:$C$135,10)</f>
        <v>10</v>
      </c>
      <c r="C15" s="44" t="n">
        <f aca="false">SUMIFS(销售明细!$L$7:$L$135,销售明细!$C$7:$C$135,10)</f>
        <v>197257</v>
      </c>
      <c r="D15" s="44" t="n">
        <f aca="false">SUMIFS(销售明细!$N$7:$N$135,销售明细!$C$7:$C$135,10)</f>
        <v>114864</v>
      </c>
      <c r="E15" s="44" t="n">
        <f aca="false">SUMIFS(销售明细!$O$7:$O$135,销售明细!$C$7:$C$135,10)</f>
        <v>82393</v>
      </c>
      <c r="F15" s="45" t="n">
        <f aca="false">IF(C15=0,0,E15/C15)</f>
        <v>0.417693668665751</v>
      </c>
      <c r="G15" s="46" t="n">
        <f aca="false">IF(C14=0,0,C15/C14-1)</f>
        <v>-0.410728102118914</v>
      </c>
      <c r="H15" s="45" t="n">
        <f aca="false">IF(参数假设!$C$8=0,0,C15/参数假设!$C$8)</f>
        <v>0.219174444444444</v>
      </c>
    </row>
    <row r="16" customFormat="false" ht="15" hidden="false" customHeight="false" outlineLevel="0" collapsed="false">
      <c r="A16" s="40" t="s">
        <v>247</v>
      </c>
      <c r="B16" s="41" t="n">
        <f aca="false">COUNTIFS(销售明细!$C$7:$C$135,11)</f>
        <v>12</v>
      </c>
      <c r="C16" s="41" t="n">
        <f aca="false">SUMIFS(销售明细!$L$7:$L$135,销售明细!$C$7:$C$135,11)</f>
        <v>403362</v>
      </c>
      <c r="D16" s="41" t="n">
        <f aca="false">SUMIFS(销售明细!$N$7:$N$135,销售明细!$C$7:$C$135,11)</f>
        <v>214689</v>
      </c>
      <c r="E16" s="41" t="n">
        <f aca="false">SUMIFS(销售明细!$O$7:$O$135,销售明细!$C$7:$C$135,11)</f>
        <v>188673</v>
      </c>
      <c r="F16" s="42" t="n">
        <f aca="false">IF(C16=0,0,E16/C16)</f>
        <v>0.46775105240454</v>
      </c>
      <c r="G16" s="47" t="n">
        <f aca="false">IF(C15=0,0,C16/C15-1)</f>
        <v>1.04485518891598</v>
      </c>
      <c r="H16" s="42" t="n">
        <f aca="false">IF(参数假设!$C$8=0,0,C16/参数假设!$C$8)</f>
        <v>0.44818</v>
      </c>
    </row>
    <row r="17" customFormat="false" ht="15" hidden="false" customHeight="false" outlineLevel="0" collapsed="false">
      <c r="A17" s="43" t="s">
        <v>248</v>
      </c>
      <c r="B17" s="44" t="n">
        <f aca="false">COUNTIFS(销售明细!$C$7:$C$135,12)</f>
        <v>10</v>
      </c>
      <c r="C17" s="44" t="n">
        <f aca="false">SUMIFS(销售明细!$L$7:$L$135,销售明细!$C$7:$C$135,12)</f>
        <v>404229</v>
      </c>
      <c r="D17" s="44" t="n">
        <f aca="false">SUMIFS(销售明细!$N$7:$N$135,销售明细!$C$7:$C$135,12)</f>
        <v>217183</v>
      </c>
      <c r="E17" s="44" t="n">
        <f aca="false">SUMIFS(销售明细!$O$7:$O$135,销售明细!$C$7:$C$135,12)</f>
        <v>187046</v>
      </c>
      <c r="F17" s="45" t="n">
        <f aca="false">IF(C17=0,0,E17/C17)</f>
        <v>0.46272286253584</v>
      </c>
      <c r="G17" s="46" t="n">
        <f aca="false">IF(C16=0,0,C17/C16-1)</f>
        <v>0.00214943400716972</v>
      </c>
      <c r="H17" s="45" t="n">
        <f aca="false">IF(参数假设!$C$8=0,0,C17/参数假设!$C$8)</f>
        <v>0.449143333333333</v>
      </c>
    </row>
    <row r="18" customFormat="false" ht="15" hidden="false" customHeight="false" outlineLevel="0" collapsed="false">
      <c r="A18" s="48" t="s">
        <v>249</v>
      </c>
      <c r="B18" s="37" t="n">
        <f aca="false">SUM(B6:B17)</f>
        <v>129</v>
      </c>
      <c r="C18" s="37" t="n">
        <f aca="false">SUM(C6:C17)</f>
        <v>2965348</v>
      </c>
      <c r="D18" s="37" t="n">
        <f aca="false">SUM(D6:D17)</f>
        <v>1535296</v>
      </c>
      <c r="E18" s="37" t="n">
        <f aca="false">SUM(E6:E17)</f>
        <v>1430052</v>
      </c>
      <c r="F18" s="49" t="n">
        <f aca="false">IF(C18=0,0,E18/C18)</f>
        <v>0.482254359353438</v>
      </c>
      <c r="G18" s="50" t="n">
        <f aca="false">IF(C6=0,0,C17/C6-1)</f>
        <v>1.53887172143503</v>
      </c>
      <c r="H18" s="49" t="n">
        <f aca="false">IF(参数假设!$C$8*12=0,0,C18/(参数假设!$C$8*12))</f>
        <v>0.274569259259259</v>
      </c>
    </row>
  </sheetData>
  <mergeCells count="2">
    <mergeCell ref="A2:H2"/>
    <mergeCell ref="A3:H3"/>
  </mergeCell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&amp;L境核AI · 销售数据分析模板&amp;R标准版</oddHeader>
    <oddFooter>&amp;L示例数据（虚构）&amp;C&amp;A&amp;R第 &amp;P 页 共 &amp;N 页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I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"/>
    <col collapsed="false" customWidth="true" hidden="false" outlineLevel="0" max="3" min="3" style="0" width="22"/>
    <col collapsed="false" customWidth="true" hidden="false" outlineLevel="0" max="4" min="4" style="0" width="14"/>
    <col collapsed="false" customWidth="true" hidden="false" outlineLevel="0" max="5" min="5" style="0" width="13"/>
    <col collapsed="false" customWidth="true" hidden="false" outlineLevel="0" max="6" min="6" style="0" width="9"/>
    <col collapsed="false" customWidth="true" hidden="false" outlineLevel="0" max="8" min="7" style="0" width="11"/>
    <col collapsed="false" customWidth="true" hidden="false" outlineLevel="0" max="9" min="9" style="0" width="6"/>
  </cols>
  <sheetData>
    <row r="2" customFormat="false" ht="30" hidden="false" customHeight="true" outlineLevel="0" collapsed="false">
      <c r="A2" s="11" t="s">
        <v>250</v>
      </c>
      <c r="B2" s="11"/>
      <c r="C2" s="11"/>
      <c r="D2" s="11"/>
      <c r="E2" s="11"/>
      <c r="F2" s="11"/>
      <c r="G2" s="11"/>
      <c r="H2" s="11"/>
    </row>
    <row r="3" customFormat="false" ht="15" hidden="false" customHeight="false" outlineLevel="0" collapsed="false">
      <c r="A3" s="12" t="s">
        <v>251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7" t="s">
        <v>252</v>
      </c>
      <c r="B5" s="7" t="s">
        <v>62</v>
      </c>
      <c r="C5" s="7" t="s">
        <v>63</v>
      </c>
      <c r="D5" s="7" t="s">
        <v>67</v>
      </c>
      <c r="E5" s="7" t="s">
        <v>70</v>
      </c>
      <c r="F5" s="7" t="s">
        <v>71</v>
      </c>
      <c r="G5" s="7" t="s">
        <v>253</v>
      </c>
      <c r="H5" s="7" t="s">
        <v>254</v>
      </c>
      <c r="I5" s="51" t="s">
        <v>255</v>
      </c>
    </row>
    <row r="6" customFormat="false" ht="15" hidden="false" customHeight="false" outlineLevel="0" collapsed="false">
      <c r="A6" s="40" t="n">
        <f aca="false">RANK(D6,$D$6:$D$11)</f>
        <v>6</v>
      </c>
      <c r="B6" s="40" t="s">
        <v>76</v>
      </c>
      <c r="C6" s="52" t="s">
        <v>77</v>
      </c>
      <c r="D6" s="41" t="n">
        <f aca="false">SUMIF(销售明细!$G$7:$G$135,B6,销售明细!$L$7:$L$135)</f>
        <v>177110</v>
      </c>
      <c r="E6" s="41" t="n">
        <f aca="false">SUMIF(销售明细!$G$7:$G$135,B6,销售明细!$O$7:$O$135)</f>
        <v>66721</v>
      </c>
      <c r="F6" s="42" t="n">
        <f aca="false">IF(D6=0,0,E6/D6)</f>
        <v>0.376720682061995</v>
      </c>
      <c r="G6" s="42" t="n">
        <f aca="false">IF(SUM($D$6:$D$11)=0,0,D6/SUM($D$6:$D$11))</f>
        <v>0.0597265481150948</v>
      </c>
      <c r="H6" s="42" t="n">
        <f aca="false">SUMIF($D$6:$D$11,"&gt;="&amp;D6)/SUM($D$6:$D$11)</f>
        <v>1</v>
      </c>
      <c r="I6" s="40" t="str">
        <f aca="false">IF(H6&lt;=参数假设!$C$11,"A",IF(H6&lt;=参数假设!$C$12,"B","C"))</f>
        <v>C</v>
      </c>
    </row>
    <row r="7" customFormat="false" ht="15" hidden="false" customHeight="false" outlineLevel="0" collapsed="false">
      <c r="A7" s="43" t="n">
        <f aca="false">RANK(D7,$D$6:$D$11)</f>
        <v>5</v>
      </c>
      <c r="B7" s="43" t="s">
        <v>83</v>
      </c>
      <c r="C7" s="53" t="s">
        <v>84</v>
      </c>
      <c r="D7" s="44" t="n">
        <f aca="false">SUMIF(销售明细!$G$7:$G$135,B7,销售明细!$L$7:$L$135)</f>
        <v>320602</v>
      </c>
      <c r="E7" s="44" t="n">
        <f aca="false">SUMIF(销售明细!$G$7:$G$135,B7,销售明细!$O$7:$O$135)</f>
        <v>123324</v>
      </c>
      <c r="F7" s="45" t="n">
        <f aca="false">IF(D7=0,0,E7/D7)</f>
        <v>0.384663851130062</v>
      </c>
      <c r="G7" s="45" t="n">
        <f aca="false">IF(SUM($D$6:$D$11)=0,0,D7/SUM($D$6:$D$11))</f>
        <v>0.108116146907547</v>
      </c>
      <c r="H7" s="45" t="n">
        <f aca="false">SUMIF($D$6:$D$11,"&gt;="&amp;D7)/SUM($D$6:$D$11)</f>
        <v>0.940273451884905</v>
      </c>
      <c r="I7" s="43" t="str">
        <f aca="false">IF(H7&lt;=参数假设!$C$11,"A",IF(H7&lt;=参数假设!$C$12,"B","C"))</f>
        <v>C</v>
      </c>
    </row>
    <row r="8" customFormat="false" ht="15" hidden="false" customHeight="false" outlineLevel="0" collapsed="false">
      <c r="A8" s="40" t="n">
        <f aca="false">RANK(D8,$D$6:$D$11)</f>
        <v>4</v>
      </c>
      <c r="B8" s="40" t="s">
        <v>109</v>
      </c>
      <c r="C8" s="52" t="s">
        <v>256</v>
      </c>
      <c r="D8" s="41" t="n">
        <f aca="false">SUMIF(销售明细!$G$7:$G$135,B8,销售明细!$L$7:$L$135)</f>
        <v>434817</v>
      </c>
      <c r="E8" s="41" t="n">
        <f aca="false">SUMIF(销售明细!$G$7:$G$135,B8,销售明细!$O$7:$O$135)</f>
        <v>325642</v>
      </c>
      <c r="F8" s="42" t="n">
        <f aca="false">IF(D8=0,0,E8/D8)</f>
        <v>0.748917360636774</v>
      </c>
      <c r="G8" s="42" t="n">
        <f aca="false">IF(SUM($D$6:$D$11)=0,0,D8/SUM($D$6:$D$11))</f>
        <v>0.146632705503705</v>
      </c>
      <c r="H8" s="42" t="n">
        <f aca="false">SUMIF($D$6:$D$11,"&gt;="&amp;D8)/SUM($D$6:$D$11)</f>
        <v>0.832157304977359</v>
      </c>
      <c r="I8" s="40" t="str">
        <f aca="false">IF(H8&lt;=参数假设!$C$11,"A",IF(H8&lt;=参数假设!$C$12,"B","C"))</f>
        <v>B</v>
      </c>
    </row>
    <row r="9" customFormat="false" ht="15" hidden="false" customHeight="false" outlineLevel="0" collapsed="false">
      <c r="A9" s="43" t="n">
        <f aca="false">RANK(D9,$D$6:$D$11)</f>
        <v>3</v>
      </c>
      <c r="B9" s="43" t="s">
        <v>95</v>
      </c>
      <c r="C9" s="53" t="s">
        <v>257</v>
      </c>
      <c r="D9" s="44" t="n">
        <f aca="false">SUMIF(销售明细!$G$7:$G$135,B9,销售明细!$L$7:$L$135)</f>
        <v>447943</v>
      </c>
      <c r="E9" s="44" t="n">
        <f aca="false">SUMIF(销售明细!$G$7:$G$135,B9,销售明细!$O$7:$O$135)</f>
        <v>337690</v>
      </c>
      <c r="F9" s="45" t="n">
        <f aca="false">IF(D9=0,0,E9/D9)</f>
        <v>0.753868237699886</v>
      </c>
      <c r="G9" s="45" t="n">
        <f aca="false">IF(SUM($D$6:$D$11)=0,0,D9/SUM($D$6:$D$11))</f>
        <v>0.151059167423183</v>
      </c>
      <c r="H9" s="45" t="n">
        <f aca="false">SUMIF($D$6:$D$11,"&gt;="&amp;D9)/SUM($D$6:$D$11)</f>
        <v>0.685524599473654</v>
      </c>
      <c r="I9" s="43" t="str">
        <f aca="false">IF(H9&lt;=参数假设!$C$11,"A",IF(H9&lt;=参数假设!$C$12,"B","C"))</f>
        <v>A</v>
      </c>
    </row>
    <row r="10" customFormat="false" ht="15" hidden="false" customHeight="false" outlineLevel="0" collapsed="false">
      <c r="A10" s="40" t="n">
        <f aca="false">RANK(D10,$D$6:$D$11)</f>
        <v>2</v>
      </c>
      <c r="B10" s="40" t="s">
        <v>101</v>
      </c>
      <c r="C10" s="52" t="s">
        <v>102</v>
      </c>
      <c r="D10" s="41" t="n">
        <f aca="false">SUMIF(销售明细!$G$7:$G$135,B10,销售明细!$L$7:$L$135)</f>
        <v>455735</v>
      </c>
      <c r="E10" s="41" t="n">
        <f aca="false">SUMIF(销售明细!$G$7:$G$135,B10,销售明细!$O$7:$O$135)</f>
        <v>164907</v>
      </c>
      <c r="F10" s="42" t="n">
        <f aca="false">IF(D10=0,0,E10/D10)</f>
        <v>0.361848442625649</v>
      </c>
      <c r="G10" s="42" t="n">
        <f aca="false">IF(SUM($D$6:$D$11)=0,0,D10/SUM($D$6:$D$11))</f>
        <v>0.153686852268267</v>
      </c>
      <c r="H10" s="42" t="n">
        <f aca="false">SUMIF($D$6:$D$11,"&gt;="&amp;D10)/SUM($D$6:$D$11)</f>
        <v>0.534465432050471</v>
      </c>
      <c r="I10" s="40" t="str">
        <f aca="false">IF(H10&lt;=参数假设!$C$11,"A",IF(H10&lt;=参数假设!$C$12,"B","C"))</f>
        <v>A</v>
      </c>
    </row>
    <row r="11" customFormat="false" ht="15" hidden="false" customHeight="false" outlineLevel="0" collapsed="false">
      <c r="A11" s="43" t="n">
        <f aca="false">RANK(D11,$D$6:$D$11)</f>
        <v>1</v>
      </c>
      <c r="B11" s="43" t="s">
        <v>87</v>
      </c>
      <c r="C11" s="53" t="s">
        <v>88</v>
      </c>
      <c r="D11" s="44" t="n">
        <f aca="false">SUMIF(销售明细!$G$7:$G$135,B11,销售明细!$L$7:$L$135)</f>
        <v>1129141</v>
      </c>
      <c r="E11" s="44" t="n">
        <f aca="false">SUMIF(销售明细!$G$7:$G$135,B11,销售明细!$O$7:$O$135)</f>
        <v>411768</v>
      </c>
      <c r="F11" s="45" t="n">
        <f aca="false">IF(D11=0,0,E11/D11)</f>
        <v>0.364673676715308</v>
      </c>
      <c r="G11" s="45" t="n">
        <f aca="false">IF(SUM($D$6:$D$11)=0,0,D11/SUM($D$6:$D$11))</f>
        <v>0.380778579782204</v>
      </c>
      <c r="H11" s="45" t="n">
        <f aca="false">SUMIF($D$6:$D$11,"&gt;="&amp;D11)/SUM($D$6:$D$11)</f>
        <v>0.380778579782204</v>
      </c>
      <c r="I11" s="43" t="str">
        <f aca="false">IF(H11&lt;=参数假设!$C$11,"A",IF(H11&lt;=参数假设!$C$12,"B","C"))</f>
        <v>A</v>
      </c>
    </row>
    <row r="12" customFormat="false" ht="15" hidden="false" customHeight="false" outlineLevel="0" collapsed="false">
      <c r="A12" s="36" t="s">
        <v>230</v>
      </c>
      <c r="B12" s="36"/>
      <c r="C12" s="36"/>
      <c r="D12" s="37" t="n">
        <f aca="false">SUM(D6:D11)</f>
        <v>2965348</v>
      </c>
      <c r="E12" s="37" t="n">
        <f aca="false">SUM(E6:E11)</f>
        <v>1430052</v>
      </c>
      <c r="F12" s="39" t="n">
        <f aca="false">IF(D12=0,0,E12/D12)</f>
        <v>0.482254359353438</v>
      </c>
      <c r="G12" s="39" t="n">
        <f aca="false">IF(SUM($D$6:$D$11)=0,0,D12/SUM($D$6:$D$11))</f>
        <v>1</v>
      </c>
      <c r="H12" s="48"/>
      <c r="I12" s="48"/>
    </row>
  </sheetData>
  <mergeCells count="3">
    <mergeCell ref="A2:H2"/>
    <mergeCell ref="A3:H3"/>
    <mergeCell ref="A12:C12"/>
  </mergeCell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&amp;L境核AI · 销售数据分析模板&amp;R标准版</oddHeader>
    <oddFooter>&amp;L示例数据（虚构）&amp;C&amp;A&amp;R第 &amp;P 页 共 &amp;N 页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F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9"/>
    <col collapsed="false" customWidth="true" hidden="false" outlineLevel="0" max="3" min="3" style="0" width="14"/>
    <col collapsed="false" customWidth="true" hidden="false" outlineLevel="0" max="4" min="4" style="0" width="13"/>
    <col collapsed="false" customWidth="true" hidden="false" outlineLevel="0" max="5" min="5" style="0" width="9"/>
    <col collapsed="false" customWidth="true" hidden="false" outlineLevel="0" max="6" min="6" style="0" width="12"/>
  </cols>
  <sheetData>
    <row r="2" customFormat="false" ht="30" hidden="false" customHeight="true" outlineLevel="0" collapsed="false">
      <c r="A2" s="11" t="s">
        <v>258</v>
      </c>
      <c r="B2" s="11"/>
      <c r="C2" s="11"/>
      <c r="D2" s="11"/>
      <c r="E2" s="11"/>
      <c r="F2" s="11"/>
    </row>
    <row r="3" customFormat="false" ht="15" hidden="false" customHeight="false" outlineLevel="0" collapsed="false">
      <c r="A3" s="12" t="s">
        <v>259</v>
      </c>
      <c r="B3" s="12"/>
      <c r="C3" s="12"/>
      <c r="D3" s="12"/>
      <c r="E3" s="12"/>
      <c r="F3" s="12"/>
    </row>
    <row r="5" customFormat="false" ht="15" hidden="false" customHeight="false" outlineLevel="0" collapsed="false">
      <c r="A5" s="7" t="s">
        <v>59</v>
      </c>
      <c r="B5" s="7" t="s">
        <v>233</v>
      </c>
      <c r="C5" s="7" t="s">
        <v>67</v>
      </c>
      <c r="D5" s="7" t="s">
        <v>70</v>
      </c>
      <c r="E5" s="7" t="s">
        <v>71</v>
      </c>
      <c r="F5" s="7" t="s">
        <v>253</v>
      </c>
    </row>
    <row r="6" customFormat="false" ht="15" hidden="false" customHeight="false" outlineLevel="0" collapsed="false">
      <c r="A6" s="54" t="s">
        <v>92</v>
      </c>
      <c r="B6" s="55" t="n">
        <f aca="false">COUNTIF(销售明细!$D$7:$D$135,A6)</f>
        <v>27</v>
      </c>
      <c r="C6" s="55" t="n">
        <f aca="false">SUMIF(销售明细!$D$7:$D$135,A6,销售明细!$L$7:$L$135)</f>
        <v>491180</v>
      </c>
      <c r="D6" s="55" t="n">
        <f aca="false">SUMIF(销售明细!$D$7:$D$135,A6,销售明细!$O$7:$O$135)</f>
        <v>238113</v>
      </c>
      <c r="E6" s="42" t="n">
        <f aca="false">IF(C6=0,0,D6/C6)</f>
        <v>0.484777474652877</v>
      </c>
      <c r="F6" s="42" t="n">
        <f aca="false">IF(SUM($C$6:$C$9)=0,0,C6/SUM($C$6:$C$9))</f>
        <v>0.165639918147887</v>
      </c>
    </row>
    <row r="7" customFormat="false" ht="15" hidden="false" customHeight="false" outlineLevel="0" collapsed="false">
      <c r="A7" s="56" t="s">
        <v>99</v>
      </c>
      <c r="B7" s="57" t="n">
        <f aca="false">COUNTIF(销售明细!$D$7:$D$135,A7)</f>
        <v>37</v>
      </c>
      <c r="C7" s="57" t="n">
        <f aca="false">SUMIF(销售明细!$D$7:$D$135,A7,销售明细!$L$7:$L$135)</f>
        <v>847250</v>
      </c>
      <c r="D7" s="57" t="n">
        <f aca="false">SUMIF(销售明细!$D$7:$D$135,A7,销售明细!$O$7:$O$135)</f>
        <v>419934</v>
      </c>
      <c r="E7" s="45" t="n">
        <f aca="false">IF(C7=0,0,D7/C7)</f>
        <v>0.495643552670404</v>
      </c>
      <c r="F7" s="45" t="n">
        <f aca="false">IF(SUM($C$6:$C$9)=0,0,C7/SUM($C$6:$C$9))</f>
        <v>0.285716887191655</v>
      </c>
    </row>
    <row r="8" customFormat="false" ht="15" hidden="false" customHeight="false" outlineLevel="0" collapsed="false">
      <c r="A8" s="54" t="s">
        <v>80</v>
      </c>
      <c r="B8" s="55" t="n">
        <f aca="false">COUNTIF(销售明细!$D$7:$D$135,A8)</f>
        <v>32</v>
      </c>
      <c r="C8" s="55" t="n">
        <f aca="false">SUMIF(销售明细!$D$7:$D$135,A8,销售明细!$L$7:$L$135)</f>
        <v>881839</v>
      </c>
      <c r="D8" s="55" t="n">
        <f aca="false">SUMIF(销售明细!$D$7:$D$135,A8,销售明细!$O$7:$O$135)</f>
        <v>419105</v>
      </c>
      <c r="E8" s="42" t="n">
        <f aca="false">IF(C8=0,0,D8/C8)</f>
        <v>0.475262491225723</v>
      </c>
      <c r="F8" s="42" t="n">
        <f aca="false">IF(SUM($C$6:$C$9)=0,0,C8/SUM($C$6:$C$9))</f>
        <v>0.29738128543429</v>
      </c>
    </row>
    <row r="9" customFormat="false" ht="15" hidden="false" customHeight="false" outlineLevel="0" collapsed="false">
      <c r="A9" s="56" t="s">
        <v>73</v>
      </c>
      <c r="B9" s="57" t="n">
        <f aca="false">COUNTIF(销售明细!$D$7:$D$135,A9)</f>
        <v>33</v>
      </c>
      <c r="C9" s="57" t="n">
        <f aca="false">SUMIF(销售明细!$D$7:$D$135,A9,销售明细!$L$7:$L$135)</f>
        <v>745079</v>
      </c>
      <c r="D9" s="57" t="n">
        <f aca="false">SUMIF(销售明细!$D$7:$D$135,A9,销售明细!$O$7:$O$135)</f>
        <v>352900</v>
      </c>
      <c r="E9" s="45" t="n">
        <f aca="false">IF(C9=0,0,D9/C9)</f>
        <v>0.473641050143676</v>
      </c>
      <c r="F9" s="45" t="n">
        <f aca="false">IF(SUM($C$6:$C$9)=0,0,C9/SUM($C$6:$C$9))</f>
        <v>0.251261909226168</v>
      </c>
    </row>
    <row r="10" customFormat="false" ht="15" hidden="false" customHeight="false" outlineLevel="0" collapsed="false">
      <c r="A10" s="58" t="s">
        <v>230</v>
      </c>
      <c r="B10" s="59" t="n">
        <f aca="false">SUM(B6:B9)</f>
        <v>129</v>
      </c>
      <c r="C10" s="59" t="n">
        <f aca="false">SUM(C6:C9)</f>
        <v>2965348</v>
      </c>
      <c r="D10" s="59" t="n">
        <f aca="false">SUM(D6:D9)</f>
        <v>1430052</v>
      </c>
      <c r="E10" s="49" t="n">
        <f aca="false">IF(C10=0,0,D10/C10)</f>
        <v>0.482254359353438</v>
      </c>
      <c r="F10" s="49" t="n">
        <f aca="false">IF(SUM($C$6:$C$9)=0,0,C10/SUM($C$6:$C$9))</f>
        <v>1</v>
      </c>
    </row>
  </sheetData>
  <mergeCells count="2">
    <mergeCell ref="A2:F2"/>
    <mergeCell ref="A3:F3"/>
  </mergeCell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&amp;L境核AI · 销售数据分析模板&amp;R标准版</oddHeader>
    <oddFooter>&amp;L示例数据（虚构）&amp;C&amp;A&amp;R第 &amp;P 页 共 &amp;N 页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10" min="2" style="0" width="13"/>
  </cols>
  <sheetData>
    <row r="2" customFormat="false" ht="39.75" hidden="false" customHeight="true" outlineLevel="0" collapsed="false">
      <c r="B2" s="11" t="s">
        <v>260</v>
      </c>
      <c r="C2" s="11"/>
      <c r="D2" s="11"/>
      <c r="E2" s="11"/>
      <c r="F2" s="11"/>
      <c r="G2" s="11"/>
      <c r="H2" s="11"/>
      <c r="I2" s="11"/>
      <c r="J2" s="11"/>
    </row>
    <row r="3" customFormat="false" ht="15" hidden="false" customHeight="false" outlineLevel="0" collapsed="false">
      <c r="B3" s="60" t="s">
        <v>261</v>
      </c>
      <c r="C3" s="60"/>
      <c r="D3" s="60"/>
      <c r="E3" s="60"/>
      <c r="F3" s="60"/>
      <c r="G3" s="60"/>
      <c r="H3" s="60"/>
      <c r="I3" s="60"/>
      <c r="J3" s="60"/>
    </row>
    <row r="5" customFormat="false" ht="19.5" hidden="false" customHeight="true" outlineLevel="0" collapsed="false">
      <c r="B5" s="61" t="s">
        <v>262</v>
      </c>
      <c r="C5" s="61"/>
      <c r="D5" s="62" t="s">
        <v>263</v>
      </c>
      <c r="E5" s="62"/>
      <c r="F5" s="63" t="s">
        <v>264</v>
      </c>
      <c r="G5" s="63"/>
      <c r="H5" s="64" t="s">
        <v>265</v>
      </c>
      <c r="I5" s="64"/>
    </row>
    <row r="6" customFormat="false" ht="33.75" hidden="false" customHeight="true" outlineLevel="0" collapsed="false">
      <c r="B6" s="65" t="n">
        <f aca="false">月度汇总!C18</f>
        <v>2965348</v>
      </c>
      <c r="C6" s="65"/>
      <c r="D6" s="66" t="n">
        <f aca="false">月度汇总!E18</f>
        <v>1430052</v>
      </c>
      <c r="E6" s="66"/>
      <c r="F6" s="67" t="n">
        <f aca="false">月度汇总!F18</f>
        <v>0.482254359353438</v>
      </c>
      <c r="G6" s="67"/>
      <c r="H6" s="68" t="n">
        <f aca="false">月度汇总!B18</f>
        <v>129</v>
      </c>
      <c r="I6" s="68"/>
    </row>
    <row r="8" customFormat="false" ht="19.5" hidden="false" customHeight="true" outlineLevel="0" collapsed="false">
      <c r="B8" s="61" t="s">
        <v>266</v>
      </c>
      <c r="C8" s="61"/>
      <c r="D8" s="62" t="s">
        <v>235</v>
      </c>
      <c r="E8" s="62"/>
    </row>
    <row r="9" customFormat="false" ht="33.75" hidden="false" customHeight="true" outlineLevel="0" collapsed="false">
      <c r="B9" s="65" t="n">
        <f aca="false">月度汇总!C18/12</f>
        <v>247112.333333333</v>
      </c>
      <c r="C9" s="65"/>
      <c r="D9" s="69" t="n">
        <f aca="false">月度汇总!H18</f>
        <v>0.274569259259259</v>
      </c>
      <c r="E9" s="69"/>
    </row>
  </sheetData>
  <mergeCells count="14">
    <mergeCell ref="B2:J2"/>
    <mergeCell ref="B3:J3"/>
    <mergeCell ref="B5:C5"/>
    <mergeCell ref="D5:E5"/>
    <mergeCell ref="F5:G5"/>
    <mergeCell ref="H5:I5"/>
    <mergeCell ref="B6:C6"/>
    <mergeCell ref="D6:E6"/>
    <mergeCell ref="F6:G6"/>
    <mergeCell ref="H6:I6"/>
    <mergeCell ref="B8:C8"/>
    <mergeCell ref="D8:E8"/>
    <mergeCell ref="B9:C9"/>
    <mergeCell ref="D9:E9"/>
  </mergeCell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&amp;L境核AI · 销售数据分析模板&amp;R标准版</oddHeader>
    <oddFooter>&amp;L示例数据（虚构）&amp;C&amp;A&amp;R第 &amp;P 页 共 &amp;N 页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4" min="3" style="0" width="18"/>
    <col collapsed="false" customWidth="true" hidden="false" outlineLevel="0" max="5" min="5" style="0" width="12"/>
  </cols>
  <sheetData>
    <row r="2" customFormat="false" ht="30" hidden="false" customHeight="true" outlineLevel="0" collapsed="false">
      <c r="B2" s="11" t="s">
        <v>267</v>
      </c>
      <c r="C2" s="11"/>
      <c r="D2" s="11"/>
      <c r="E2" s="11"/>
    </row>
    <row r="3" customFormat="false" ht="15" hidden="false" customHeight="false" outlineLevel="0" collapsed="false">
      <c r="B3" s="12" t="s">
        <v>268</v>
      </c>
      <c r="C3" s="12"/>
      <c r="D3" s="12"/>
      <c r="E3" s="12"/>
    </row>
    <row r="5" customFormat="false" ht="15" hidden="false" customHeight="false" outlineLevel="0" collapsed="false">
      <c r="B5" s="7"/>
      <c r="C5" s="7"/>
      <c r="D5" s="7"/>
      <c r="E5" s="7"/>
    </row>
    <row r="6" customFormat="false" ht="15" hidden="false" customHeight="false" outlineLevel="0" collapsed="false">
      <c r="B6" s="70" t="s">
        <v>269</v>
      </c>
      <c r="C6" s="55" t="n">
        <f aca="false">销售明细!L136</f>
        <v>2965348</v>
      </c>
      <c r="D6" s="55" t="n">
        <f aca="false">月度汇总!C18</f>
        <v>2965348</v>
      </c>
      <c r="E6" s="71" t="str">
        <f aca="false">IF(ABS(C6-D6)&lt;0.5,"通过","异常")</f>
        <v>通过</v>
      </c>
    </row>
    <row r="7" customFormat="false" ht="15" hidden="false" customHeight="false" outlineLevel="0" collapsed="false">
      <c r="B7" s="70" t="s">
        <v>270</v>
      </c>
      <c r="C7" s="55" t="n">
        <f aca="false">销售明细!O136</f>
        <v>1430052</v>
      </c>
      <c r="D7" s="55" t="n">
        <f aca="false">月度汇总!E18</f>
        <v>1430052</v>
      </c>
      <c r="E7" s="71" t="str">
        <f aca="false">IF(ABS(C7-D7)&lt;0.5,"通过","异常")</f>
        <v>通过</v>
      </c>
    </row>
    <row r="8" customFormat="false" ht="15" hidden="false" customHeight="false" outlineLevel="0" collapsed="false">
      <c r="B8" s="70" t="s">
        <v>271</v>
      </c>
      <c r="C8" s="55" t="n">
        <f aca="false">月度汇总!C18</f>
        <v>2965348</v>
      </c>
      <c r="D8" s="55" t="n">
        <f aca="false">产品排名!D12</f>
        <v>2965348</v>
      </c>
      <c r="E8" s="71" t="str">
        <f aca="false">IF(ABS(C8-D8)&lt;0.5,"通过","异常")</f>
        <v>通过</v>
      </c>
    </row>
    <row r="9" customFormat="false" ht="15" hidden="false" customHeight="false" outlineLevel="0" collapsed="false">
      <c r="B9" s="70" t="s">
        <v>272</v>
      </c>
      <c r="C9" s="55" t="n">
        <f aca="false">月度汇总!C18</f>
        <v>2965348</v>
      </c>
      <c r="D9" s="55" t="n">
        <f aca="false">区域分析!C10</f>
        <v>2965348</v>
      </c>
      <c r="E9" s="71" t="str">
        <f aca="false">IF(ABS(C9-D9)&lt;0.5,"通过","异常")</f>
        <v>通过</v>
      </c>
    </row>
    <row r="10" customFormat="false" ht="15" hidden="false" customHeight="false" outlineLevel="0" collapsed="false">
      <c r="B10" s="70" t="s">
        <v>273</v>
      </c>
      <c r="C10" s="55" t="n">
        <f aca="false">COUNTA(销售明细!A7:A135)</f>
        <v>129</v>
      </c>
      <c r="D10" s="55" t="n">
        <f aca="false">区域分析!B10</f>
        <v>129</v>
      </c>
      <c r="E10" s="71" t="str">
        <f aca="false">IF(ABS(C10-D10)&lt;0.5,"通过","异常")</f>
        <v>通过</v>
      </c>
    </row>
    <row r="11" customFormat="false" ht="15" hidden="false" customHeight="false" outlineLevel="0" collapsed="false">
      <c r="B11" s="70" t="s">
        <v>274</v>
      </c>
      <c r="C11" s="40" t="n">
        <v>0</v>
      </c>
      <c r="D11" s="40" t="n">
        <f aca="false">COUNTIF(销售明细!P7:P135,"&lt;0")+COUNTIF(销售明细!P7:P135,"&gt;1")</f>
        <v>0</v>
      </c>
      <c r="E11" s="71" t="str">
        <f aca="false">IF(C11=D11,"通过","异常")</f>
        <v>通过</v>
      </c>
    </row>
    <row r="13" customFormat="false" ht="15" hidden="false" customHeight="false" outlineLevel="0" collapsed="false">
      <c r="B13" s="72" t="str">
        <f aca="false">IF(COUNTIF(E6:E11,"异常")=0,"✔ 全部校验通过，报表可用","⚠ 存在异常，请检查上方明细")</f>
        <v>✔ 全部校验通过，报表可用</v>
      </c>
      <c r="C13" s="72"/>
      <c r="D13" s="72"/>
      <c r="E13" s="72"/>
    </row>
  </sheetData>
  <mergeCells count="3">
    <mergeCell ref="B2:E2"/>
    <mergeCell ref="B3:E3"/>
    <mergeCell ref="B13:E13"/>
  </mergeCells>
  <conditionalFormatting sqref="E6:E11">
    <cfRule type="cellIs" priority="2" operator="equal" aboveAverage="0" equalAverage="0" bottom="0" percent="0" rank="0" text="" dxfId="0">
      <formula>"通过"</formula>
    </cfRule>
    <cfRule type="cellIs" priority="3" operator="equal" aboveAverage="0" equalAverage="0" bottom="0" percent="0" rank="0" text="" dxfId="1">
      <formula>"异常"</formula>
    </cfRule>
  </conditionalFormatting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&amp;L境核AI · 销售数据分析模板&amp;R标准版</oddHeader>
    <oddFooter>&amp;L示例数据（虚构）&amp;C&amp;A&amp;R第 &amp;P 页 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2026-08-31T09:41:35Z</dcterms:created>
  <dc:creator>openpyxl</dc:creator>
  <dc:description/>
  <dc:language>en-US</dc:language>
  <cp:lastModifiedBy/>
  <dcterms:modified xsi:type="dcterms:W3CDTF">2026-08-31T09:41:37Z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